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60K units - 03.13" sheetId="1" r:id="rId1"/>
  </sheets>
  <calcPr calcId="152511"/>
</workbook>
</file>

<file path=xl/calcChain.xml><?xml version="1.0" encoding="utf-8"?>
<calcChain xmlns="http://schemas.openxmlformats.org/spreadsheetml/2006/main">
  <c r="M2" i="1" l="1"/>
  <c r="M3" i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977" i="1" s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210" i="1"/>
  <c r="M211" i="1"/>
  <c r="M212" i="1"/>
  <c r="M213" i="1"/>
  <c r="M214" i="1"/>
  <c r="M215" i="1"/>
  <c r="M216" i="1"/>
  <c r="M217" i="1"/>
  <c r="M218" i="1"/>
  <c r="M219" i="1"/>
  <c r="M220" i="1"/>
  <c r="M221" i="1"/>
  <c r="M222" i="1"/>
  <c r="M223" i="1"/>
  <c r="M224" i="1"/>
  <c r="M225" i="1"/>
  <c r="M226" i="1"/>
  <c r="M227" i="1"/>
  <c r="M228" i="1"/>
  <c r="M229" i="1"/>
  <c r="M230" i="1"/>
  <c r="M231" i="1"/>
  <c r="M232" i="1"/>
  <c r="M233" i="1"/>
  <c r="M234" i="1"/>
  <c r="M235" i="1"/>
  <c r="M236" i="1"/>
  <c r="M237" i="1"/>
  <c r="M238" i="1"/>
  <c r="M239" i="1"/>
  <c r="M240" i="1"/>
  <c r="M241" i="1"/>
  <c r="M242" i="1"/>
  <c r="M243" i="1"/>
  <c r="M244" i="1"/>
  <c r="M245" i="1"/>
  <c r="M246" i="1"/>
  <c r="M247" i="1"/>
  <c r="M248" i="1"/>
  <c r="M249" i="1"/>
  <c r="M250" i="1"/>
  <c r="M251" i="1"/>
  <c r="M252" i="1"/>
  <c r="M253" i="1"/>
  <c r="M254" i="1"/>
  <c r="M255" i="1"/>
  <c r="M256" i="1"/>
  <c r="M257" i="1"/>
  <c r="M258" i="1"/>
  <c r="M259" i="1"/>
  <c r="M260" i="1"/>
  <c r="M261" i="1"/>
  <c r="M262" i="1"/>
  <c r="M263" i="1"/>
  <c r="M264" i="1"/>
  <c r="M265" i="1"/>
  <c r="M266" i="1"/>
  <c r="M267" i="1"/>
  <c r="M268" i="1"/>
  <c r="M269" i="1"/>
  <c r="M270" i="1"/>
  <c r="M271" i="1"/>
  <c r="M272" i="1"/>
  <c r="M273" i="1"/>
  <c r="M274" i="1"/>
  <c r="M275" i="1"/>
  <c r="M276" i="1"/>
  <c r="M277" i="1"/>
  <c r="M278" i="1"/>
  <c r="M279" i="1"/>
  <c r="M280" i="1"/>
  <c r="M281" i="1"/>
  <c r="M282" i="1"/>
  <c r="M283" i="1"/>
  <c r="M284" i="1"/>
  <c r="M285" i="1"/>
  <c r="M286" i="1"/>
  <c r="M287" i="1"/>
  <c r="M288" i="1"/>
  <c r="M289" i="1"/>
  <c r="M290" i="1"/>
  <c r="M291" i="1"/>
  <c r="M292" i="1"/>
  <c r="M293" i="1"/>
  <c r="M294" i="1"/>
  <c r="M295" i="1"/>
  <c r="M296" i="1"/>
  <c r="M297" i="1"/>
  <c r="M298" i="1"/>
  <c r="M299" i="1"/>
  <c r="M300" i="1"/>
  <c r="M301" i="1"/>
  <c r="M302" i="1"/>
  <c r="M303" i="1"/>
  <c r="M304" i="1"/>
  <c r="M305" i="1"/>
  <c r="M306" i="1"/>
  <c r="M307" i="1"/>
  <c r="M308" i="1"/>
  <c r="M309" i="1"/>
  <c r="M310" i="1"/>
  <c r="M311" i="1"/>
  <c r="M312" i="1"/>
  <c r="M313" i="1"/>
  <c r="M314" i="1"/>
  <c r="M315" i="1"/>
  <c r="M316" i="1"/>
  <c r="M317" i="1"/>
  <c r="M318" i="1"/>
  <c r="M319" i="1"/>
  <c r="M320" i="1"/>
  <c r="M321" i="1"/>
  <c r="M322" i="1"/>
  <c r="M323" i="1"/>
  <c r="M324" i="1"/>
  <c r="M325" i="1"/>
  <c r="M326" i="1"/>
  <c r="M327" i="1"/>
  <c r="M328" i="1"/>
  <c r="M329" i="1"/>
  <c r="M330" i="1"/>
  <c r="M331" i="1"/>
  <c r="M332" i="1"/>
  <c r="M333" i="1"/>
  <c r="M334" i="1"/>
  <c r="M335" i="1"/>
  <c r="M336" i="1"/>
  <c r="M337" i="1"/>
  <c r="M338" i="1"/>
  <c r="M339" i="1"/>
  <c r="M340" i="1"/>
  <c r="M341" i="1"/>
  <c r="M342" i="1"/>
  <c r="M343" i="1"/>
  <c r="M344" i="1"/>
  <c r="M345" i="1"/>
  <c r="M346" i="1"/>
  <c r="M347" i="1"/>
  <c r="M348" i="1"/>
  <c r="M349" i="1"/>
  <c r="M350" i="1"/>
  <c r="M351" i="1"/>
  <c r="M352" i="1"/>
  <c r="M353" i="1"/>
  <c r="M354" i="1"/>
  <c r="M355" i="1"/>
  <c r="M356" i="1"/>
  <c r="M357" i="1"/>
  <c r="M358" i="1"/>
  <c r="M359" i="1"/>
  <c r="M360" i="1"/>
  <c r="M361" i="1"/>
  <c r="M362" i="1"/>
  <c r="M363" i="1"/>
  <c r="M364" i="1"/>
  <c r="M365" i="1"/>
  <c r="M366" i="1"/>
  <c r="M367" i="1"/>
  <c r="M368" i="1"/>
  <c r="M369" i="1"/>
  <c r="M370" i="1"/>
  <c r="M371" i="1"/>
  <c r="M372" i="1"/>
  <c r="M373" i="1"/>
  <c r="M374" i="1"/>
  <c r="M375" i="1"/>
  <c r="M376" i="1"/>
  <c r="M377" i="1"/>
  <c r="M378" i="1"/>
  <c r="M379" i="1"/>
  <c r="M380" i="1"/>
  <c r="M381" i="1"/>
  <c r="M382" i="1"/>
  <c r="M383" i="1"/>
  <c r="M384" i="1"/>
  <c r="M385" i="1"/>
  <c r="M386" i="1"/>
  <c r="M387" i="1"/>
  <c r="M388" i="1"/>
  <c r="M389" i="1"/>
  <c r="M390" i="1"/>
  <c r="M391" i="1"/>
  <c r="M392" i="1"/>
  <c r="M393" i="1"/>
  <c r="M394" i="1"/>
  <c r="M395" i="1"/>
  <c r="M396" i="1"/>
  <c r="M397" i="1"/>
  <c r="M398" i="1"/>
  <c r="M399" i="1"/>
  <c r="M400" i="1"/>
  <c r="M401" i="1"/>
  <c r="M402" i="1"/>
  <c r="M403" i="1"/>
  <c r="M404" i="1"/>
  <c r="M405" i="1"/>
  <c r="M406" i="1"/>
  <c r="M407" i="1"/>
  <c r="M408" i="1"/>
  <c r="M409" i="1"/>
  <c r="M410" i="1"/>
  <c r="M411" i="1"/>
  <c r="M412" i="1"/>
  <c r="M413" i="1"/>
  <c r="M414" i="1"/>
  <c r="M415" i="1"/>
  <c r="M416" i="1"/>
  <c r="M417" i="1"/>
  <c r="M418" i="1"/>
  <c r="M419" i="1"/>
  <c r="M420" i="1"/>
  <c r="M421" i="1"/>
  <c r="M422" i="1"/>
  <c r="M423" i="1"/>
  <c r="M424" i="1"/>
  <c r="M425" i="1"/>
  <c r="M426" i="1"/>
  <c r="M427" i="1"/>
  <c r="M428" i="1"/>
  <c r="M429" i="1"/>
  <c r="M430" i="1"/>
  <c r="M431" i="1"/>
  <c r="M432" i="1"/>
  <c r="M433" i="1"/>
  <c r="M434" i="1"/>
  <c r="M435" i="1"/>
  <c r="M436" i="1"/>
  <c r="M437" i="1"/>
  <c r="M438" i="1"/>
  <c r="M439" i="1"/>
  <c r="M440" i="1"/>
  <c r="M441" i="1"/>
  <c r="M442" i="1"/>
  <c r="M443" i="1"/>
  <c r="M444" i="1"/>
  <c r="M445" i="1"/>
  <c r="M446" i="1"/>
  <c r="M447" i="1"/>
  <c r="M448" i="1"/>
  <c r="M449" i="1"/>
  <c r="M450" i="1"/>
  <c r="M451" i="1"/>
  <c r="M452" i="1"/>
  <c r="M453" i="1"/>
  <c r="M454" i="1"/>
  <c r="M455" i="1"/>
  <c r="M456" i="1"/>
  <c r="M457" i="1"/>
  <c r="M458" i="1"/>
  <c r="M459" i="1"/>
  <c r="M460" i="1"/>
  <c r="M461" i="1"/>
  <c r="M462" i="1"/>
  <c r="M463" i="1"/>
  <c r="M464" i="1"/>
  <c r="M465" i="1"/>
  <c r="M466" i="1"/>
  <c r="M467" i="1"/>
  <c r="M468" i="1"/>
  <c r="M469" i="1"/>
  <c r="M470" i="1"/>
  <c r="M471" i="1"/>
  <c r="M472" i="1"/>
  <c r="M473" i="1"/>
  <c r="M474" i="1"/>
  <c r="M475" i="1"/>
  <c r="M476" i="1"/>
  <c r="M477" i="1"/>
  <c r="M478" i="1"/>
  <c r="M479" i="1"/>
  <c r="M480" i="1"/>
  <c r="M481" i="1"/>
  <c r="M482" i="1"/>
  <c r="M483" i="1"/>
  <c r="M484" i="1"/>
  <c r="M485" i="1"/>
  <c r="M486" i="1"/>
  <c r="M487" i="1"/>
  <c r="M488" i="1"/>
  <c r="M489" i="1"/>
  <c r="M490" i="1"/>
  <c r="M491" i="1"/>
  <c r="M492" i="1"/>
  <c r="M493" i="1"/>
  <c r="M494" i="1"/>
  <c r="M495" i="1"/>
  <c r="M496" i="1"/>
  <c r="M497" i="1"/>
  <c r="M498" i="1"/>
  <c r="M499" i="1"/>
  <c r="M500" i="1"/>
  <c r="M501" i="1"/>
  <c r="M502" i="1"/>
  <c r="M503" i="1"/>
  <c r="M504" i="1"/>
  <c r="M505" i="1"/>
  <c r="M506" i="1"/>
  <c r="M507" i="1"/>
  <c r="M508" i="1"/>
  <c r="M509" i="1"/>
  <c r="M510" i="1"/>
  <c r="M511" i="1"/>
  <c r="M512" i="1"/>
  <c r="M513" i="1"/>
  <c r="M514" i="1"/>
  <c r="M515" i="1"/>
  <c r="M516" i="1"/>
  <c r="M517" i="1"/>
  <c r="M518" i="1"/>
  <c r="M519" i="1"/>
  <c r="M520" i="1"/>
  <c r="M521" i="1"/>
  <c r="M522" i="1"/>
  <c r="M523" i="1"/>
  <c r="M524" i="1"/>
  <c r="M525" i="1"/>
  <c r="M526" i="1"/>
  <c r="M527" i="1"/>
  <c r="M528" i="1"/>
  <c r="M529" i="1"/>
  <c r="M530" i="1"/>
  <c r="M531" i="1"/>
  <c r="M532" i="1"/>
  <c r="M533" i="1"/>
  <c r="M534" i="1"/>
  <c r="M535" i="1"/>
  <c r="M536" i="1"/>
  <c r="M537" i="1"/>
  <c r="M538" i="1"/>
  <c r="M539" i="1"/>
  <c r="M540" i="1"/>
  <c r="M541" i="1"/>
  <c r="M542" i="1"/>
  <c r="M543" i="1"/>
  <c r="M544" i="1"/>
  <c r="M545" i="1"/>
  <c r="M546" i="1"/>
  <c r="M547" i="1"/>
  <c r="M548" i="1"/>
  <c r="M549" i="1"/>
  <c r="M550" i="1"/>
  <c r="M551" i="1"/>
  <c r="M552" i="1"/>
  <c r="M553" i="1"/>
  <c r="M554" i="1"/>
  <c r="M555" i="1"/>
  <c r="M556" i="1"/>
  <c r="M557" i="1"/>
  <c r="M558" i="1"/>
  <c r="M559" i="1"/>
  <c r="M560" i="1"/>
  <c r="M561" i="1"/>
  <c r="M562" i="1"/>
  <c r="M563" i="1"/>
  <c r="M564" i="1"/>
  <c r="M565" i="1"/>
  <c r="M566" i="1"/>
  <c r="M567" i="1"/>
  <c r="M568" i="1"/>
  <c r="M569" i="1"/>
  <c r="M570" i="1"/>
  <c r="M571" i="1"/>
  <c r="M572" i="1"/>
  <c r="M573" i="1"/>
  <c r="M574" i="1"/>
  <c r="M575" i="1"/>
  <c r="M576" i="1"/>
  <c r="M577" i="1"/>
  <c r="M578" i="1"/>
  <c r="M579" i="1"/>
  <c r="M580" i="1"/>
  <c r="M581" i="1"/>
  <c r="M582" i="1"/>
  <c r="M583" i="1"/>
  <c r="M584" i="1"/>
  <c r="M585" i="1"/>
  <c r="M586" i="1"/>
  <c r="M587" i="1"/>
  <c r="M588" i="1"/>
  <c r="M589" i="1"/>
  <c r="M590" i="1"/>
  <c r="M591" i="1"/>
  <c r="M592" i="1"/>
  <c r="M593" i="1"/>
  <c r="M594" i="1"/>
  <c r="M595" i="1"/>
  <c r="M596" i="1"/>
  <c r="M597" i="1"/>
  <c r="M598" i="1"/>
  <c r="M599" i="1"/>
  <c r="M600" i="1"/>
  <c r="M601" i="1"/>
  <c r="M602" i="1"/>
  <c r="M603" i="1"/>
  <c r="M604" i="1"/>
  <c r="M605" i="1"/>
  <c r="M606" i="1"/>
  <c r="M607" i="1"/>
  <c r="M608" i="1"/>
  <c r="M609" i="1"/>
  <c r="M610" i="1"/>
  <c r="M611" i="1"/>
  <c r="M612" i="1"/>
  <c r="M613" i="1"/>
  <c r="M614" i="1"/>
  <c r="M615" i="1"/>
  <c r="M616" i="1"/>
  <c r="M617" i="1"/>
  <c r="M618" i="1"/>
  <c r="M619" i="1"/>
  <c r="M620" i="1"/>
  <c r="M621" i="1"/>
  <c r="M622" i="1"/>
  <c r="M623" i="1"/>
  <c r="M624" i="1"/>
  <c r="M625" i="1"/>
  <c r="M626" i="1"/>
  <c r="M627" i="1"/>
  <c r="M628" i="1"/>
  <c r="M629" i="1"/>
  <c r="M630" i="1"/>
  <c r="M631" i="1"/>
  <c r="M632" i="1"/>
  <c r="M633" i="1"/>
  <c r="M634" i="1"/>
  <c r="M635" i="1"/>
  <c r="M636" i="1"/>
  <c r="M637" i="1"/>
  <c r="M638" i="1"/>
  <c r="M639" i="1"/>
  <c r="M640" i="1"/>
  <c r="M641" i="1"/>
  <c r="M642" i="1"/>
  <c r="M643" i="1"/>
  <c r="M644" i="1"/>
  <c r="M645" i="1"/>
  <c r="M646" i="1"/>
  <c r="M647" i="1"/>
  <c r="M648" i="1"/>
  <c r="M649" i="1"/>
  <c r="M650" i="1"/>
  <c r="M651" i="1"/>
  <c r="M652" i="1"/>
  <c r="M653" i="1"/>
  <c r="M654" i="1"/>
  <c r="M655" i="1"/>
  <c r="M656" i="1"/>
  <c r="M657" i="1"/>
  <c r="M658" i="1"/>
  <c r="M659" i="1"/>
  <c r="M660" i="1"/>
  <c r="M661" i="1"/>
  <c r="M662" i="1"/>
  <c r="M663" i="1"/>
  <c r="M664" i="1"/>
  <c r="M665" i="1"/>
  <c r="M666" i="1"/>
  <c r="M667" i="1"/>
  <c r="M668" i="1"/>
  <c r="M669" i="1"/>
  <c r="M670" i="1"/>
  <c r="M671" i="1"/>
  <c r="M672" i="1"/>
  <c r="M673" i="1"/>
  <c r="M674" i="1"/>
  <c r="M675" i="1"/>
  <c r="M676" i="1"/>
  <c r="M677" i="1"/>
  <c r="M678" i="1"/>
  <c r="M679" i="1"/>
  <c r="M680" i="1"/>
  <c r="M681" i="1"/>
  <c r="M682" i="1"/>
  <c r="M683" i="1"/>
  <c r="M684" i="1"/>
  <c r="M685" i="1"/>
  <c r="M686" i="1"/>
  <c r="M687" i="1"/>
  <c r="M688" i="1"/>
  <c r="M689" i="1"/>
  <c r="M690" i="1"/>
  <c r="M691" i="1"/>
  <c r="M692" i="1"/>
  <c r="M693" i="1"/>
  <c r="M694" i="1"/>
  <c r="M695" i="1"/>
  <c r="M696" i="1"/>
  <c r="M697" i="1"/>
  <c r="M698" i="1"/>
  <c r="M699" i="1"/>
  <c r="M700" i="1"/>
  <c r="M701" i="1"/>
  <c r="M702" i="1"/>
  <c r="M703" i="1"/>
  <c r="M704" i="1"/>
  <c r="M705" i="1"/>
  <c r="M706" i="1"/>
  <c r="M707" i="1"/>
  <c r="M708" i="1"/>
  <c r="M709" i="1"/>
  <c r="M710" i="1"/>
  <c r="M711" i="1"/>
  <c r="M712" i="1"/>
  <c r="M713" i="1"/>
  <c r="M714" i="1"/>
  <c r="M715" i="1"/>
  <c r="M716" i="1"/>
  <c r="M717" i="1"/>
  <c r="M718" i="1"/>
  <c r="M719" i="1"/>
  <c r="M720" i="1"/>
  <c r="M721" i="1"/>
  <c r="M722" i="1"/>
  <c r="M723" i="1"/>
  <c r="M724" i="1"/>
  <c r="M725" i="1"/>
  <c r="M726" i="1"/>
  <c r="M727" i="1"/>
  <c r="M728" i="1"/>
  <c r="M729" i="1"/>
  <c r="M730" i="1"/>
  <c r="M731" i="1"/>
  <c r="M732" i="1"/>
  <c r="M733" i="1"/>
  <c r="M734" i="1"/>
  <c r="M735" i="1"/>
  <c r="M736" i="1"/>
  <c r="M737" i="1"/>
  <c r="M738" i="1"/>
  <c r="M739" i="1"/>
  <c r="M740" i="1"/>
  <c r="M741" i="1"/>
  <c r="M742" i="1"/>
  <c r="M743" i="1"/>
  <c r="M744" i="1"/>
  <c r="M745" i="1"/>
  <c r="M746" i="1"/>
  <c r="M747" i="1"/>
  <c r="M748" i="1"/>
  <c r="M749" i="1"/>
  <c r="M750" i="1"/>
  <c r="M751" i="1"/>
  <c r="M752" i="1"/>
  <c r="M753" i="1"/>
  <c r="M754" i="1"/>
  <c r="M755" i="1"/>
  <c r="M756" i="1"/>
  <c r="M757" i="1"/>
  <c r="M758" i="1"/>
  <c r="M759" i="1"/>
  <c r="M760" i="1"/>
  <c r="M761" i="1"/>
  <c r="M762" i="1"/>
  <c r="M763" i="1"/>
  <c r="M764" i="1"/>
  <c r="M765" i="1"/>
  <c r="M766" i="1"/>
  <c r="M767" i="1"/>
  <c r="M768" i="1"/>
  <c r="M769" i="1"/>
  <c r="M770" i="1"/>
  <c r="M771" i="1"/>
  <c r="M772" i="1"/>
  <c r="M773" i="1"/>
  <c r="M774" i="1"/>
  <c r="M775" i="1"/>
  <c r="M776" i="1"/>
  <c r="M777" i="1"/>
  <c r="M778" i="1"/>
  <c r="M779" i="1"/>
  <c r="M780" i="1"/>
  <c r="M781" i="1"/>
  <c r="M782" i="1"/>
  <c r="M783" i="1"/>
  <c r="M784" i="1"/>
  <c r="M785" i="1"/>
  <c r="M786" i="1"/>
  <c r="M787" i="1"/>
  <c r="M788" i="1"/>
  <c r="M789" i="1"/>
  <c r="M790" i="1"/>
  <c r="M791" i="1"/>
  <c r="M792" i="1"/>
  <c r="M793" i="1"/>
  <c r="M794" i="1"/>
  <c r="M795" i="1"/>
  <c r="M796" i="1"/>
  <c r="M797" i="1"/>
  <c r="M798" i="1"/>
  <c r="M799" i="1"/>
  <c r="M800" i="1"/>
  <c r="M801" i="1"/>
  <c r="M802" i="1"/>
  <c r="M803" i="1"/>
  <c r="M804" i="1"/>
  <c r="M805" i="1"/>
  <c r="M806" i="1"/>
  <c r="M807" i="1"/>
  <c r="M808" i="1"/>
  <c r="M809" i="1"/>
  <c r="M810" i="1"/>
  <c r="M811" i="1"/>
  <c r="M812" i="1"/>
  <c r="M813" i="1"/>
  <c r="M814" i="1"/>
  <c r="M815" i="1"/>
  <c r="M816" i="1"/>
  <c r="M817" i="1"/>
  <c r="M818" i="1"/>
  <c r="M819" i="1"/>
  <c r="M820" i="1"/>
  <c r="M821" i="1"/>
  <c r="M822" i="1"/>
  <c r="M823" i="1"/>
  <c r="M824" i="1"/>
  <c r="M825" i="1"/>
  <c r="M826" i="1"/>
  <c r="M827" i="1"/>
  <c r="M828" i="1"/>
  <c r="M829" i="1"/>
  <c r="M830" i="1"/>
  <c r="M831" i="1"/>
  <c r="M832" i="1"/>
  <c r="M833" i="1"/>
  <c r="M834" i="1"/>
  <c r="M835" i="1"/>
  <c r="M836" i="1"/>
  <c r="M837" i="1"/>
  <c r="M838" i="1"/>
  <c r="M839" i="1"/>
  <c r="M840" i="1"/>
  <c r="M841" i="1"/>
  <c r="M842" i="1"/>
  <c r="M843" i="1"/>
  <c r="M844" i="1"/>
  <c r="M845" i="1"/>
  <c r="M846" i="1"/>
  <c r="M847" i="1"/>
  <c r="M848" i="1"/>
  <c r="M849" i="1"/>
  <c r="M850" i="1"/>
  <c r="M851" i="1"/>
  <c r="M852" i="1"/>
  <c r="M853" i="1"/>
  <c r="M854" i="1"/>
  <c r="M855" i="1"/>
  <c r="M856" i="1"/>
  <c r="M857" i="1"/>
  <c r="M858" i="1"/>
  <c r="M859" i="1"/>
  <c r="M860" i="1"/>
  <c r="M861" i="1"/>
  <c r="M862" i="1"/>
  <c r="M863" i="1"/>
  <c r="M864" i="1"/>
  <c r="M865" i="1"/>
  <c r="M866" i="1"/>
  <c r="M867" i="1"/>
  <c r="M868" i="1"/>
  <c r="M869" i="1"/>
  <c r="M870" i="1"/>
  <c r="M871" i="1"/>
  <c r="M872" i="1"/>
  <c r="M873" i="1"/>
  <c r="M874" i="1"/>
  <c r="M875" i="1"/>
  <c r="M876" i="1"/>
  <c r="M877" i="1"/>
  <c r="M878" i="1"/>
  <c r="M879" i="1"/>
  <c r="M880" i="1"/>
  <c r="M881" i="1"/>
  <c r="M882" i="1"/>
  <c r="M883" i="1"/>
  <c r="M884" i="1"/>
  <c r="M885" i="1"/>
  <c r="M886" i="1"/>
  <c r="M887" i="1"/>
  <c r="M888" i="1"/>
  <c r="M889" i="1"/>
  <c r="M890" i="1"/>
  <c r="M891" i="1"/>
  <c r="M892" i="1"/>
  <c r="M893" i="1"/>
  <c r="M894" i="1"/>
  <c r="M895" i="1"/>
  <c r="M896" i="1"/>
  <c r="M897" i="1"/>
  <c r="M898" i="1"/>
  <c r="M899" i="1"/>
  <c r="M900" i="1"/>
  <c r="M901" i="1"/>
  <c r="M902" i="1"/>
  <c r="M903" i="1"/>
  <c r="M904" i="1"/>
  <c r="M905" i="1"/>
  <c r="M906" i="1"/>
  <c r="M907" i="1"/>
  <c r="M908" i="1"/>
  <c r="M909" i="1"/>
  <c r="M910" i="1"/>
  <c r="M911" i="1"/>
  <c r="M912" i="1"/>
  <c r="M913" i="1"/>
  <c r="M914" i="1"/>
  <c r="M915" i="1"/>
  <c r="M916" i="1"/>
  <c r="M917" i="1"/>
  <c r="M918" i="1"/>
  <c r="M919" i="1"/>
  <c r="M920" i="1"/>
  <c r="M921" i="1"/>
  <c r="M922" i="1"/>
  <c r="M923" i="1"/>
  <c r="M924" i="1"/>
  <c r="M925" i="1"/>
  <c r="M926" i="1"/>
  <c r="M927" i="1"/>
  <c r="M928" i="1"/>
  <c r="M929" i="1"/>
  <c r="M930" i="1"/>
  <c r="M931" i="1"/>
  <c r="M932" i="1"/>
  <c r="M933" i="1"/>
  <c r="M934" i="1"/>
  <c r="M935" i="1"/>
  <c r="M936" i="1"/>
  <c r="M937" i="1"/>
  <c r="M938" i="1"/>
  <c r="M939" i="1"/>
  <c r="M940" i="1"/>
  <c r="M941" i="1"/>
  <c r="M942" i="1"/>
  <c r="M943" i="1"/>
  <c r="M944" i="1"/>
  <c r="M945" i="1"/>
  <c r="M946" i="1"/>
  <c r="M947" i="1"/>
  <c r="M948" i="1"/>
  <c r="M949" i="1"/>
  <c r="M950" i="1"/>
  <c r="M951" i="1"/>
  <c r="M952" i="1"/>
  <c r="M953" i="1"/>
  <c r="M954" i="1"/>
  <c r="M955" i="1"/>
  <c r="M956" i="1"/>
  <c r="M957" i="1"/>
  <c r="M958" i="1"/>
  <c r="M959" i="1"/>
  <c r="M960" i="1"/>
  <c r="M961" i="1"/>
  <c r="M962" i="1"/>
  <c r="M963" i="1"/>
  <c r="M964" i="1"/>
  <c r="M965" i="1"/>
  <c r="M966" i="1"/>
  <c r="M967" i="1"/>
  <c r="M968" i="1"/>
  <c r="M969" i="1"/>
  <c r="M970" i="1"/>
  <c r="M971" i="1"/>
  <c r="M972" i="1"/>
  <c r="M973" i="1"/>
  <c r="M974" i="1"/>
  <c r="M975" i="1"/>
  <c r="M976" i="1"/>
  <c r="K977" i="1"/>
  <c r="B976" i="1"/>
  <c r="B975" i="1"/>
  <c r="B974" i="1"/>
  <c r="H973" i="1"/>
  <c r="B973" i="1"/>
  <c r="B972" i="1"/>
  <c r="H971" i="1"/>
  <c r="B971" i="1"/>
  <c r="H970" i="1"/>
  <c r="B970" i="1"/>
  <c r="H969" i="1"/>
  <c r="B969" i="1"/>
  <c r="H968" i="1"/>
  <c r="B968" i="1"/>
  <c r="H967" i="1"/>
  <c r="B967" i="1"/>
  <c r="H966" i="1"/>
  <c r="B966" i="1"/>
  <c r="H965" i="1"/>
  <c r="B965" i="1"/>
  <c r="H964" i="1"/>
  <c r="B964" i="1"/>
  <c r="B963" i="1"/>
  <c r="B962" i="1"/>
  <c r="B961" i="1"/>
  <c r="H960" i="1"/>
  <c r="B960" i="1"/>
  <c r="B959" i="1"/>
  <c r="H958" i="1"/>
  <c r="B958" i="1"/>
  <c r="B957" i="1"/>
  <c r="B956" i="1"/>
  <c r="B955" i="1"/>
  <c r="B954" i="1"/>
  <c r="G953" i="1"/>
  <c r="B953" i="1"/>
  <c r="G952" i="1"/>
  <c r="B952" i="1"/>
  <c r="B951" i="1"/>
  <c r="B950" i="1"/>
  <c r="B949" i="1"/>
  <c r="B948" i="1"/>
  <c r="B947" i="1"/>
  <c r="B946" i="1"/>
  <c r="B945" i="1"/>
  <c r="B944" i="1"/>
  <c r="B943" i="1"/>
  <c r="B942" i="1"/>
  <c r="B941" i="1"/>
  <c r="B940" i="1"/>
  <c r="B939" i="1"/>
  <c r="B938" i="1"/>
  <c r="B937" i="1"/>
  <c r="B936" i="1"/>
  <c r="B935" i="1"/>
  <c r="B934" i="1"/>
  <c r="B933" i="1"/>
  <c r="B932" i="1"/>
  <c r="B931" i="1"/>
  <c r="B930" i="1"/>
  <c r="B929" i="1"/>
  <c r="B928" i="1"/>
  <c r="B927" i="1"/>
  <c r="B926" i="1"/>
  <c r="B925" i="1"/>
  <c r="B924" i="1"/>
  <c r="B923" i="1"/>
  <c r="B922" i="1"/>
  <c r="B921" i="1"/>
  <c r="B920" i="1"/>
  <c r="B919" i="1"/>
  <c r="B918" i="1"/>
  <c r="B917" i="1"/>
  <c r="B916" i="1"/>
  <c r="B915" i="1"/>
  <c r="B914" i="1"/>
  <c r="B913" i="1"/>
  <c r="B912" i="1"/>
  <c r="B911" i="1"/>
  <c r="B910" i="1"/>
  <c r="B909" i="1"/>
  <c r="B908" i="1"/>
  <c r="B907" i="1"/>
  <c r="B906" i="1"/>
  <c r="B905" i="1"/>
  <c r="B904" i="1"/>
  <c r="B903" i="1"/>
  <c r="B902" i="1"/>
  <c r="B901" i="1"/>
  <c r="B900" i="1"/>
  <c r="B899" i="1"/>
  <c r="B898" i="1"/>
  <c r="B897" i="1"/>
  <c r="B896" i="1"/>
  <c r="B895" i="1"/>
  <c r="B894" i="1"/>
  <c r="B893" i="1"/>
  <c r="B892" i="1"/>
  <c r="B891" i="1"/>
  <c r="B890" i="1"/>
  <c r="B889" i="1"/>
  <c r="B888" i="1"/>
  <c r="B887" i="1"/>
  <c r="B886" i="1"/>
  <c r="B885" i="1"/>
  <c r="B884" i="1"/>
  <c r="B883" i="1"/>
  <c r="B882" i="1"/>
  <c r="B881" i="1"/>
  <c r="B880" i="1"/>
  <c r="B879" i="1"/>
  <c r="B878" i="1"/>
  <c r="B877" i="1"/>
  <c r="B876" i="1"/>
  <c r="B875" i="1"/>
  <c r="B874" i="1"/>
  <c r="B873" i="1"/>
  <c r="B872" i="1"/>
  <c r="B871" i="1"/>
  <c r="B870" i="1"/>
  <c r="B869" i="1"/>
  <c r="B868" i="1"/>
  <c r="B867" i="1"/>
  <c r="B866" i="1"/>
  <c r="B865" i="1"/>
  <c r="B864" i="1"/>
  <c r="B863" i="1"/>
  <c r="B862" i="1"/>
  <c r="B861" i="1"/>
  <c r="B860" i="1"/>
  <c r="B859" i="1"/>
  <c r="B858" i="1"/>
  <c r="B857" i="1"/>
  <c r="B856" i="1"/>
  <c r="B855" i="1"/>
  <c r="B854" i="1"/>
  <c r="B853" i="1"/>
  <c r="B852" i="1"/>
  <c r="B851" i="1"/>
  <c r="B850" i="1"/>
  <c r="B849" i="1"/>
  <c r="B848" i="1"/>
  <c r="B847" i="1"/>
  <c r="B846" i="1"/>
  <c r="B845" i="1"/>
  <c r="B844" i="1"/>
  <c r="B843" i="1"/>
  <c r="B842" i="1"/>
  <c r="B841" i="1"/>
  <c r="B840" i="1"/>
  <c r="B839" i="1"/>
  <c r="B838" i="1"/>
  <c r="B837" i="1"/>
  <c r="B836" i="1"/>
  <c r="B835" i="1"/>
  <c r="B834" i="1"/>
  <c r="B833" i="1"/>
  <c r="B832" i="1"/>
  <c r="B831" i="1"/>
  <c r="B830" i="1"/>
  <c r="B829" i="1"/>
  <c r="B828" i="1"/>
  <c r="B827" i="1"/>
  <c r="B826" i="1"/>
  <c r="B825" i="1"/>
  <c r="B824" i="1"/>
  <c r="B823" i="1"/>
  <c r="B822" i="1"/>
  <c r="B821" i="1"/>
  <c r="B820" i="1"/>
  <c r="B819" i="1"/>
  <c r="B818" i="1"/>
  <c r="B817" i="1"/>
  <c r="B816" i="1"/>
  <c r="B815" i="1"/>
  <c r="B814" i="1"/>
  <c r="B813" i="1"/>
  <c r="B812" i="1"/>
  <c r="B811" i="1"/>
  <c r="B810" i="1"/>
  <c r="B809" i="1"/>
  <c r="B808" i="1"/>
  <c r="B807" i="1"/>
  <c r="B806" i="1"/>
  <c r="B805" i="1"/>
  <c r="B804" i="1"/>
  <c r="B803" i="1"/>
  <c r="B802" i="1"/>
  <c r="B801" i="1"/>
  <c r="B800" i="1"/>
  <c r="B799" i="1"/>
  <c r="B798" i="1"/>
  <c r="B797" i="1"/>
  <c r="G796" i="1"/>
  <c r="B796" i="1"/>
  <c r="G795" i="1"/>
  <c r="B795" i="1"/>
  <c r="B794" i="1"/>
  <c r="B793" i="1"/>
  <c r="B792" i="1"/>
  <c r="B791" i="1"/>
  <c r="B790" i="1"/>
  <c r="B789" i="1"/>
  <c r="B788" i="1"/>
  <c r="B787" i="1"/>
  <c r="B786" i="1"/>
  <c r="B785" i="1"/>
  <c r="B784" i="1"/>
  <c r="B783" i="1"/>
  <c r="B782" i="1"/>
  <c r="B781" i="1"/>
  <c r="B780" i="1"/>
  <c r="B779" i="1"/>
  <c r="B778" i="1"/>
  <c r="B777" i="1"/>
  <c r="B776" i="1"/>
  <c r="B775" i="1"/>
  <c r="B774" i="1"/>
  <c r="B773" i="1"/>
  <c r="B772" i="1"/>
  <c r="B771" i="1"/>
  <c r="G770" i="1"/>
  <c r="B770" i="1"/>
  <c r="G769" i="1"/>
  <c r="B769" i="1"/>
  <c r="B768" i="1"/>
  <c r="B767" i="1"/>
  <c r="B766" i="1"/>
  <c r="B765" i="1"/>
  <c r="B764" i="1"/>
  <c r="B763" i="1"/>
  <c r="B762" i="1"/>
  <c r="B761" i="1"/>
  <c r="H760" i="1"/>
  <c r="G760" i="1"/>
  <c r="B760" i="1"/>
  <c r="H759" i="1"/>
  <c r="G759" i="1"/>
  <c r="B759" i="1"/>
  <c r="H758" i="1"/>
  <c r="G758" i="1"/>
  <c r="B758" i="1"/>
  <c r="H757" i="1"/>
  <c r="G757" i="1"/>
  <c r="B757" i="1"/>
  <c r="H756" i="1"/>
  <c r="G756" i="1"/>
  <c r="B756" i="1"/>
  <c r="H755" i="1"/>
  <c r="G755" i="1"/>
  <c r="B755" i="1"/>
  <c r="H754" i="1"/>
  <c r="G754" i="1"/>
  <c r="B754" i="1"/>
  <c r="B753" i="1"/>
  <c r="B752" i="1"/>
  <c r="B751" i="1"/>
  <c r="B750" i="1"/>
  <c r="B749" i="1"/>
  <c r="B748" i="1"/>
  <c r="B747" i="1"/>
  <c r="B746" i="1"/>
  <c r="B745" i="1"/>
  <c r="B744" i="1"/>
  <c r="B743" i="1"/>
  <c r="B742" i="1"/>
  <c r="B741" i="1"/>
  <c r="B740" i="1"/>
  <c r="B739" i="1"/>
  <c r="B738" i="1"/>
  <c r="B737" i="1"/>
  <c r="B736" i="1"/>
  <c r="B735" i="1"/>
  <c r="B734" i="1"/>
  <c r="B733" i="1"/>
  <c r="B732" i="1"/>
  <c r="B731" i="1"/>
  <c r="B730" i="1"/>
  <c r="B729" i="1"/>
  <c r="B728" i="1"/>
  <c r="B727" i="1"/>
  <c r="B726" i="1"/>
  <c r="B725" i="1"/>
  <c r="B724" i="1"/>
  <c r="B723" i="1"/>
  <c r="B722" i="1"/>
  <c r="B721" i="1"/>
  <c r="B720" i="1"/>
  <c r="B719" i="1"/>
  <c r="B718" i="1"/>
  <c r="B717" i="1"/>
  <c r="B716" i="1"/>
  <c r="B715" i="1"/>
  <c r="B714" i="1"/>
  <c r="B713" i="1"/>
  <c r="B712" i="1"/>
  <c r="B711" i="1"/>
  <c r="B710" i="1"/>
  <c r="B709" i="1"/>
  <c r="B708" i="1"/>
  <c r="B707" i="1"/>
  <c r="B706" i="1"/>
  <c r="B705" i="1"/>
  <c r="B704" i="1"/>
  <c r="B703" i="1"/>
  <c r="B702" i="1"/>
  <c r="B701" i="1"/>
  <c r="B700" i="1"/>
  <c r="B699" i="1"/>
  <c r="B698" i="1"/>
  <c r="B697" i="1"/>
  <c r="G696" i="1"/>
  <c r="B696" i="1"/>
  <c r="H695" i="1"/>
  <c r="B695" i="1"/>
  <c r="B694" i="1"/>
  <c r="H693" i="1"/>
  <c r="B693" i="1"/>
  <c r="B692" i="1"/>
  <c r="B691" i="1"/>
  <c r="B690" i="1"/>
  <c r="B689" i="1"/>
  <c r="B688" i="1"/>
  <c r="H687" i="1"/>
  <c r="G687" i="1"/>
  <c r="B687" i="1"/>
  <c r="H686" i="1"/>
  <c r="G686" i="1"/>
  <c r="B686" i="1"/>
  <c r="H685" i="1"/>
  <c r="G685" i="1"/>
  <c r="B685" i="1"/>
  <c r="H684" i="1"/>
  <c r="G684" i="1"/>
  <c r="B684" i="1"/>
  <c r="H683" i="1"/>
  <c r="G683" i="1"/>
  <c r="B683" i="1"/>
  <c r="H682" i="1"/>
  <c r="G682" i="1"/>
  <c r="B682" i="1"/>
  <c r="H681" i="1"/>
  <c r="G681" i="1"/>
  <c r="B681" i="1"/>
  <c r="H680" i="1"/>
  <c r="G680" i="1"/>
  <c r="B680" i="1"/>
  <c r="H679" i="1"/>
  <c r="G679" i="1"/>
  <c r="B679" i="1"/>
  <c r="H678" i="1"/>
  <c r="G678" i="1"/>
  <c r="B678" i="1"/>
  <c r="H677" i="1"/>
  <c r="G677" i="1"/>
  <c r="B677" i="1"/>
  <c r="H676" i="1"/>
  <c r="G676" i="1"/>
  <c r="B676" i="1"/>
  <c r="H675" i="1"/>
  <c r="G675" i="1"/>
  <c r="B675" i="1"/>
  <c r="H674" i="1"/>
  <c r="G674" i="1"/>
  <c r="B674" i="1"/>
  <c r="H673" i="1"/>
  <c r="G673" i="1"/>
  <c r="B673" i="1"/>
  <c r="H672" i="1"/>
  <c r="G672" i="1"/>
  <c r="B672" i="1"/>
  <c r="H671" i="1"/>
  <c r="G671" i="1"/>
  <c r="B671" i="1"/>
  <c r="H670" i="1"/>
  <c r="G670" i="1"/>
  <c r="B670" i="1"/>
  <c r="H669" i="1"/>
  <c r="G669" i="1"/>
  <c r="B669" i="1"/>
  <c r="H668" i="1"/>
  <c r="G668" i="1"/>
  <c r="B668" i="1"/>
  <c r="H667" i="1"/>
  <c r="G667" i="1"/>
  <c r="B667" i="1"/>
  <c r="H666" i="1"/>
  <c r="G666" i="1"/>
  <c r="B666" i="1"/>
  <c r="H665" i="1"/>
  <c r="G665" i="1"/>
  <c r="B665" i="1"/>
  <c r="H664" i="1"/>
  <c r="G664" i="1"/>
  <c r="B664" i="1"/>
  <c r="H663" i="1"/>
  <c r="G663" i="1"/>
  <c r="B663" i="1"/>
  <c r="H662" i="1"/>
  <c r="G662" i="1"/>
  <c r="B662" i="1"/>
  <c r="H661" i="1"/>
  <c r="G661" i="1"/>
  <c r="B661" i="1"/>
  <c r="H660" i="1"/>
  <c r="G660" i="1"/>
  <c r="B660" i="1"/>
  <c r="G659" i="1"/>
  <c r="B659" i="1"/>
  <c r="G658" i="1"/>
  <c r="B658" i="1"/>
  <c r="B657" i="1"/>
  <c r="B656" i="1"/>
  <c r="B655" i="1"/>
  <c r="B654" i="1"/>
  <c r="B653" i="1"/>
  <c r="B652" i="1"/>
  <c r="B651" i="1"/>
  <c r="G650" i="1"/>
  <c r="B650" i="1"/>
  <c r="G649" i="1"/>
  <c r="B649" i="1"/>
  <c r="G648" i="1"/>
  <c r="B648" i="1"/>
  <c r="G647" i="1"/>
  <c r="B647" i="1"/>
  <c r="G646" i="1"/>
  <c r="B646" i="1"/>
  <c r="G645" i="1"/>
  <c r="B645" i="1"/>
  <c r="G644" i="1"/>
  <c r="B644" i="1"/>
  <c r="G643" i="1"/>
  <c r="B643" i="1"/>
  <c r="B642" i="1"/>
  <c r="B641" i="1"/>
  <c r="B640" i="1"/>
  <c r="B639" i="1"/>
  <c r="B638" i="1"/>
  <c r="B637" i="1"/>
  <c r="B636" i="1"/>
  <c r="B635" i="1"/>
  <c r="B634" i="1"/>
  <c r="B633" i="1"/>
  <c r="B632" i="1"/>
  <c r="B631" i="1"/>
  <c r="B630" i="1"/>
  <c r="B629" i="1"/>
  <c r="B628" i="1"/>
  <c r="B627" i="1"/>
  <c r="B626" i="1"/>
  <c r="B625" i="1"/>
  <c r="B624" i="1"/>
  <c r="B623" i="1"/>
  <c r="B622" i="1"/>
  <c r="B621" i="1"/>
  <c r="B620" i="1"/>
  <c r="B619" i="1"/>
  <c r="B618" i="1"/>
  <c r="B617" i="1"/>
  <c r="B616" i="1"/>
  <c r="B615" i="1"/>
  <c r="B614" i="1"/>
  <c r="B613" i="1"/>
  <c r="B612" i="1"/>
  <c r="B611" i="1"/>
  <c r="B610" i="1"/>
  <c r="B609" i="1"/>
  <c r="B608" i="1"/>
  <c r="B607" i="1"/>
  <c r="B606" i="1"/>
  <c r="B605" i="1"/>
  <c r="B604" i="1"/>
  <c r="B603" i="1"/>
  <c r="B602" i="1"/>
  <c r="B601" i="1"/>
  <c r="B600" i="1"/>
  <c r="B599" i="1"/>
  <c r="B598" i="1"/>
  <c r="B597" i="1"/>
  <c r="B596" i="1"/>
  <c r="B595" i="1"/>
  <c r="B594" i="1"/>
  <c r="B593" i="1"/>
  <c r="G592" i="1"/>
  <c r="B592" i="1"/>
  <c r="B591" i="1"/>
  <c r="B590" i="1"/>
  <c r="B589" i="1"/>
  <c r="B588" i="1"/>
  <c r="B587" i="1"/>
  <c r="B586" i="1"/>
  <c r="B585" i="1"/>
  <c r="B584" i="1"/>
  <c r="B583" i="1"/>
  <c r="B582" i="1"/>
  <c r="B581" i="1"/>
  <c r="B580" i="1"/>
  <c r="B579" i="1"/>
  <c r="B578" i="1"/>
  <c r="B577" i="1"/>
  <c r="B576" i="1"/>
  <c r="B575" i="1"/>
  <c r="B574" i="1"/>
  <c r="B573" i="1"/>
  <c r="B572" i="1"/>
  <c r="B571" i="1"/>
  <c r="B570" i="1"/>
  <c r="B569" i="1"/>
  <c r="B568" i="1"/>
  <c r="B567" i="1"/>
  <c r="B566" i="1"/>
  <c r="B565" i="1"/>
  <c r="B564" i="1"/>
  <c r="B563" i="1"/>
  <c r="B562" i="1"/>
  <c r="B561" i="1"/>
  <c r="B560" i="1"/>
  <c r="B559" i="1"/>
  <c r="B558" i="1"/>
  <c r="B557" i="1"/>
  <c r="B556" i="1"/>
  <c r="B555" i="1"/>
  <c r="B554" i="1"/>
  <c r="B553" i="1"/>
  <c r="B552" i="1"/>
  <c r="B551" i="1"/>
  <c r="B550" i="1"/>
  <c r="B549" i="1"/>
  <c r="B548" i="1"/>
  <c r="B547" i="1"/>
  <c r="B546" i="1"/>
  <c r="B545" i="1"/>
  <c r="B544" i="1"/>
  <c r="B543" i="1"/>
  <c r="B542" i="1"/>
  <c r="B541" i="1"/>
  <c r="B540" i="1"/>
  <c r="B539" i="1"/>
  <c r="B538" i="1"/>
  <c r="B537" i="1"/>
  <c r="B536" i="1"/>
  <c r="B535" i="1"/>
  <c r="B534" i="1"/>
  <c r="B533" i="1"/>
  <c r="B532" i="1"/>
  <c r="B531" i="1"/>
  <c r="B530" i="1"/>
  <c r="B529" i="1"/>
  <c r="B528" i="1"/>
  <c r="B527" i="1"/>
  <c r="B526" i="1"/>
  <c r="B525" i="1"/>
  <c r="B524" i="1"/>
  <c r="B523" i="1"/>
  <c r="B522" i="1"/>
  <c r="B521" i="1"/>
  <c r="B520" i="1"/>
  <c r="B519" i="1"/>
  <c r="B518" i="1"/>
  <c r="B517" i="1"/>
  <c r="B516" i="1"/>
  <c r="B515" i="1"/>
  <c r="B514" i="1"/>
  <c r="B513" i="1"/>
  <c r="B512" i="1"/>
  <c r="B511" i="1"/>
  <c r="B510" i="1"/>
  <c r="B509" i="1"/>
  <c r="B508" i="1"/>
  <c r="B507" i="1"/>
  <c r="B506" i="1"/>
  <c r="B505" i="1"/>
  <c r="B504" i="1"/>
  <c r="B503" i="1"/>
  <c r="B502" i="1"/>
  <c r="B501" i="1"/>
  <c r="B500" i="1"/>
  <c r="B499" i="1"/>
  <c r="B498" i="1"/>
  <c r="B497" i="1"/>
  <c r="B496" i="1"/>
  <c r="B495" i="1"/>
  <c r="B494" i="1"/>
  <c r="B493" i="1"/>
  <c r="B492" i="1"/>
  <c r="B491" i="1"/>
  <c r="B490" i="1"/>
  <c r="B489" i="1"/>
  <c r="B488" i="1"/>
  <c r="B487" i="1"/>
  <c r="B486" i="1"/>
  <c r="B485" i="1"/>
  <c r="B484" i="1"/>
  <c r="B483" i="1"/>
  <c r="B482" i="1"/>
  <c r="B481" i="1"/>
  <c r="B480" i="1"/>
  <c r="B479" i="1"/>
  <c r="B478" i="1"/>
  <c r="B477" i="1"/>
  <c r="B476" i="1"/>
  <c r="B475" i="1"/>
  <c r="B474" i="1"/>
  <c r="B473" i="1"/>
  <c r="B472" i="1"/>
  <c r="B471" i="1"/>
  <c r="B470" i="1"/>
  <c r="B469" i="1"/>
  <c r="B468" i="1"/>
  <c r="B467" i="1"/>
  <c r="B466" i="1"/>
  <c r="B465" i="1"/>
  <c r="B464" i="1"/>
  <c r="B463" i="1"/>
  <c r="B462" i="1"/>
  <c r="B461" i="1"/>
  <c r="B460" i="1"/>
  <c r="B459" i="1"/>
  <c r="B458" i="1"/>
  <c r="B457" i="1"/>
  <c r="B456" i="1"/>
  <c r="B455" i="1"/>
  <c r="B454" i="1"/>
  <c r="B453" i="1"/>
  <c r="B452" i="1"/>
  <c r="B451" i="1"/>
  <c r="B450" i="1"/>
  <c r="B449" i="1"/>
  <c r="B448" i="1"/>
  <c r="B447" i="1"/>
  <c r="B446" i="1"/>
  <c r="B445" i="1"/>
  <c r="B444" i="1"/>
  <c r="B443" i="1"/>
  <c r="B442" i="1"/>
  <c r="B441" i="1"/>
  <c r="B440" i="1"/>
  <c r="B439" i="1"/>
  <c r="B438" i="1"/>
  <c r="B437" i="1"/>
  <c r="B436" i="1"/>
  <c r="B435" i="1"/>
  <c r="B434" i="1"/>
  <c r="B433" i="1"/>
  <c r="B432" i="1"/>
  <c r="B431" i="1"/>
  <c r="B430" i="1"/>
  <c r="B429" i="1"/>
  <c r="B428" i="1"/>
  <c r="B427" i="1"/>
  <c r="B426" i="1"/>
  <c r="B425" i="1"/>
  <c r="B424" i="1"/>
  <c r="B423" i="1"/>
  <c r="B422" i="1"/>
  <c r="B421" i="1"/>
  <c r="B420" i="1"/>
  <c r="B419" i="1"/>
  <c r="B418" i="1"/>
  <c r="B417" i="1"/>
  <c r="B416" i="1"/>
  <c r="B415" i="1"/>
  <c r="B414" i="1"/>
  <c r="B413" i="1"/>
  <c r="B412" i="1"/>
  <c r="B411" i="1"/>
  <c r="B410" i="1"/>
  <c r="B409" i="1"/>
  <c r="B408" i="1"/>
  <c r="B407" i="1"/>
  <c r="B406" i="1"/>
  <c r="B405" i="1"/>
  <c r="B404" i="1"/>
  <c r="B403" i="1"/>
  <c r="B402" i="1"/>
  <c r="B401" i="1"/>
  <c r="B400" i="1"/>
  <c r="B399" i="1"/>
  <c r="B398" i="1"/>
  <c r="B397" i="1"/>
  <c r="B396" i="1"/>
  <c r="B395" i="1"/>
  <c r="B394" i="1"/>
  <c r="B393" i="1"/>
  <c r="G392" i="1"/>
  <c r="B392" i="1"/>
  <c r="G391" i="1"/>
  <c r="B391" i="1"/>
  <c r="G390" i="1"/>
  <c r="B390" i="1"/>
  <c r="G389" i="1"/>
  <c r="B389" i="1"/>
  <c r="G388" i="1"/>
  <c r="B388" i="1"/>
  <c r="G387" i="1"/>
  <c r="B387" i="1"/>
  <c r="G386" i="1"/>
  <c r="B386" i="1"/>
  <c r="G385" i="1"/>
  <c r="B385" i="1"/>
  <c r="G384" i="1"/>
  <c r="B384" i="1"/>
  <c r="G383" i="1"/>
  <c r="B383" i="1"/>
  <c r="G382" i="1"/>
  <c r="B382" i="1"/>
  <c r="G381" i="1"/>
  <c r="B381" i="1"/>
  <c r="G380" i="1"/>
  <c r="B380" i="1"/>
  <c r="G379" i="1"/>
  <c r="B379" i="1"/>
  <c r="G378" i="1"/>
  <c r="B378" i="1"/>
  <c r="G377" i="1"/>
  <c r="B377" i="1"/>
  <c r="G376" i="1"/>
  <c r="B376" i="1"/>
  <c r="G375" i="1"/>
  <c r="B375" i="1"/>
  <c r="G374" i="1"/>
  <c r="B374" i="1"/>
  <c r="B373" i="1"/>
  <c r="B372" i="1"/>
  <c r="B371" i="1"/>
  <c r="B370" i="1"/>
  <c r="B369" i="1"/>
  <c r="B368" i="1"/>
  <c r="B367" i="1"/>
  <c r="B366" i="1"/>
  <c r="B365" i="1"/>
  <c r="B364" i="1"/>
  <c r="B363" i="1"/>
  <c r="B362" i="1"/>
  <c r="B361" i="1"/>
  <c r="B360" i="1"/>
  <c r="B359" i="1"/>
  <c r="B358" i="1"/>
  <c r="B357" i="1"/>
  <c r="B356" i="1"/>
  <c r="B355" i="1"/>
  <c r="B354" i="1"/>
  <c r="B353" i="1"/>
  <c r="B352" i="1"/>
  <c r="B351" i="1"/>
  <c r="B350" i="1"/>
  <c r="B349" i="1"/>
  <c r="B348" i="1"/>
  <c r="B347" i="1"/>
  <c r="B346" i="1"/>
  <c r="B345" i="1"/>
  <c r="B344" i="1"/>
  <c r="B343" i="1"/>
  <c r="B342" i="1"/>
  <c r="B341" i="1"/>
  <c r="B340" i="1"/>
  <c r="B339" i="1"/>
  <c r="B338" i="1"/>
  <c r="B337" i="1"/>
  <c r="B336" i="1"/>
  <c r="B335" i="1"/>
  <c r="B334" i="1"/>
  <c r="B333" i="1"/>
  <c r="B332" i="1"/>
  <c r="B331" i="1"/>
  <c r="B330" i="1"/>
  <c r="B329" i="1"/>
  <c r="B328" i="1"/>
  <c r="B327" i="1"/>
  <c r="B326" i="1"/>
  <c r="B325" i="1"/>
  <c r="B324" i="1"/>
  <c r="B323" i="1"/>
  <c r="B322" i="1"/>
  <c r="B321" i="1"/>
  <c r="B320" i="1"/>
  <c r="B319" i="1"/>
  <c r="B318" i="1"/>
  <c r="B317" i="1"/>
  <c r="B316" i="1"/>
  <c r="B315" i="1"/>
  <c r="B314" i="1"/>
  <c r="B313" i="1"/>
  <c r="B312" i="1"/>
  <c r="B311" i="1"/>
  <c r="B310" i="1"/>
  <c r="B309" i="1"/>
  <c r="B308" i="1"/>
  <c r="B307" i="1"/>
  <c r="B306" i="1"/>
  <c r="B305" i="1"/>
  <c r="B304" i="1"/>
  <c r="B303" i="1"/>
  <c r="B302" i="1"/>
  <c r="B301" i="1"/>
  <c r="B300" i="1"/>
  <c r="B299" i="1"/>
  <c r="B298" i="1"/>
  <c r="B297" i="1"/>
  <c r="B296" i="1"/>
  <c r="B295" i="1"/>
  <c r="B294" i="1"/>
  <c r="B293" i="1"/>
  <c r="B292" i="1"/>
  <c r="B291" i="1"/>
  <c r="B290" i="1"/>
  <c r="B289" i="1"/>
  <c r="B288" i="1"/>
  <c r="B287" i="1"/>
  <c r="B286" i="1"/>
  <c r="B285" i="1"/>
  <c r="B284" i="1"/>
  <c r="B283" i="1"/>
  <c r="B282" i="1"/>
  <c r="B281" i="1"/>
  <c r="B280" i="1"/>
  <c r="B279" i="1"/>
  <c r="B278" i="1"/>
  <c r="B277" i="1"/>
  <c r="B276" i="1"/>
  <c r="B275" i="1"/>
  <c r="B274" i="1"/>
  <c r="B273" i="1"/>
  <c r="B272" i="1"/>
  <c r="B271" i="1"/>
  <c r="B270" i="1"/>
  <c r="B269" i="1"/>
  <c r="B268" i="1"/>
  <c r="B267" i="1"/>
  <c r="B266" i="1"/>
  <c r="B265" i="1"/>
  <c r="B264" i="1"/>
  <c r="B263" i="1"/>
  <c r="B262" i="1"/>
  <c r="B261" i="1"/>
  <c r="B260" i="1"/>
  <c r="B259" i="1"/>
  <c r="B258" i="1"/>
  <c r="B257" i="1"/>
  <c r="B256" i="1"/>
  <c r="B255" i="1"/>
  <c r="B254" i="1"/>
  <c r="B253" i="1"/>
  <c r="B252" i="1"/>
  <c r="B251" i="1"/>
  <c r="B250" i="1"/>
  <c r="B249" i="1"/>
  <c r="B248" i="1"/>
  <c r="B247" i="1"/>
  <c r="B246" i="1"/>
  <c r="B245" i="1"/>
  <c r="B244" i="1"/>
  <c r="B243" i="1"/>
  <c r="B242" i="1"/>
  <c r="B241" i="1"/>
  <c r="B240" i="1"/>
  <c r="B239" i="1"/>
  <c r="B238" i="1"/>
  <c r="B237" i="1"/>
  <c r="B236" i="1"/>
  <c r="B235" i="1"/>
  <c r="B234" i="1"/>
  <c r="B233" i="1"/>
  <c r="B232" i="1"/>
  <c r="B231" i="1"/>
  <c r="B230" i="1"/>
  <c r="B229" i="1"/>
  <c r="B228" i="1"/>
  <c r="B227" i="1"/>
  <c r="B226" i="1"/>
  <c r="B225" i="1"/>
  <c r="B224" i="1"/>
  <c r="B223" i="1"/>
  <c r="B222" i="1"/>
  <c r="B221" i="1"/>
  <c r="B220" i="1"/>
  <c r="B219" i="1"/>
  <c r="B218" i="1"/>
  <c r="B217" i="1"/>
  <c r="B216" i="1"/>
  <c r="B215" i="1"/>
  <c r="B214" i="1"/>
  <c r="B213" i="1"/>
  <c r="B212" i="1"/>
  <c r="B211" i="1"/>
  <c r="B210" i="1"/>
  <c r="B209" i="1"/>
  <c r="B208" i="1"/>
  <c r="B207" i="1"/>
  <c r="B206" i="1"/>
  <c r="B205" i="1"/>
  <c r="B204" i="1"/>
  <c r="B203" i="1"/>
  <c r="B202" i="1"/>
  <c r="B201" i="1"/>
  <c r="H200" i="1"/>
  <c r="G200" i="1"/>
  <c r="B200" i="1"/>
  <c r="H199" i="1"/>
  <c r="G199" i="1"/>
  <c r="B199" i="1"/>
  <c r="H198" i="1"/>
  <c r="G198" i="1"/>
  <c r="B198" i="1"/>
  <c r="H197" i="1"/>
  <c r="G197" i="1"/>
  <c r="B197" i="1"/>
  <c r="H196" i="1"/>
  <c r="G196" i="1"/>
  <c r="B196" i="1"/>
  <c r="H195" i="1"/>
  <c r="G195" i="1"/>
  <c r="B195" i="1"/>
  <c r="H194" i="1"/>
  <c r="G194" i="1"/>
  <c r="B194" i="1"/>
  <c r="H193" i="1"/>
  <c r="G193" i="1"/>
  <c r="B193" i="1"/>
  <c r="H192" i="1"/>
  <c r="G192" i="1"/>
  <c r="B192" i="1"/>
  <c r="H191" i="1"/>
  <c r="G191" i="1"/>
  <c r="B191" i="1"/>
  <c r="H190" i="1"/>
  <c r="G190" i="1"/>
  <c r="B190" i="1"/>
  <c r="H189" i="1"/>
  <c r="G189" i="1"/>
  <c r="B189" i="1"/>
  <c r="H188" i="1"/>
  <c r="G188" i="1"/>
  <c r="B188" i="1"/>
  <c r="H187" i="1"/>
  <c r="G187" i="1"/>
  <c r="B187" i="1"/>
  <c r="H186" i="1"/>
  <c r="G186" i="1"/>
  <c r="B186" i="1"/>
  <c r="H185" i="1"/>
  <c r="G185" i="1"/>
  <c r="B185" i="1"/>
  <c r="H184" i="1"/>
  <c r="G184" i="1"/>
  <c r="B184" i="1"/>
  <c r="H183" i="1"/>
  <c r="G183" i="1"/>
  <c r="B183" i="1"/>
  <c r="H182" i="1"/>
  <c r="G182" i="1"/>
  <c r="B182" i="1"/>
  <c r="H181" i="1"/>
  <c r="G181" i="1"/>
  <c r="B181" i="1"/>
  <c r="H180" i="1"/>
  <c r="G180" i="1"/>
  <c r="B180" i="1"/>
  <c r="H179" i="1"/>
  <c r="G179" i="1"/>
  <c r="B179" i="1"/>
  <c r="H178" i="1"/>
  <c r="G178" i="1"/>
  <c r="B178" i="1"/>
  <c r="H177" i="1"/>
  <c r="G177" i="1"/>
  <c r="B177" i="1"/>
  <c r="H176" i="1"/>
  <c r="G176" i="1"/>
  <c r="B176" i="1"/>
  <c r="G175" i="1"/>
  <c r="B175" i="1"/>
  <c r="G174" i="1"/>
  <c r="B174" i="1"/>
  <c r="G173" i="1"/>
  <c r="B173" i="1"/>
  <c r="G172" i="1"/>
  <c r="B172" i="1"/>
  <c r="G171" i="1"/>
  <c r="B171" i="1"/>
  <c r="G170" i="1"/>
  <c r="B170" i="1"/>
  <c r="G169" i="1"/>
  <c r="B169" i="1"/>
  <c r="G168" i="1"/>
  <c r="B168" i="1"/>
  <c r="G167" i="1"/>
  <c r="B167" i="1"/>
  <c r="G166" i="1"/>
  <c r="B166" i="1"/>
  <c r="G165" i="1"/>
  <c r="B165" i="1"/>
  <c r="G164" i="1"/>
  <c r="B164" i="1"/>
  <c r="G163" i="1"/>
  <c r="B163" i="1"/>
  <c r="G162" i="1"/>
  <c r="B162" i="1"/>
  <c r="G161" i="1"/>
  <c r="B161" i="1"/>
  <c r="G160" i="1"/>
  <c r="B160" i="1"/>
  <c r="G159" i="1"/>
  <c r="B159" i="1"/>
  <c r="G158" i="1"/>
  <c r="B158" i="1"/>
  <c r="G157" i="1"/>
  <c r="B157" i="1"/>
  <c r="G156" i="1"/>
  <c r="B156" i="1"/>
  <c r="G155" i="1"/>
  <c r="B155" i="1"/>
  <c r="G154" i="1"/>
  <c r="B154" i="1"/>
  <c r="G153" i="1"/>
  <c r="B153" i="1"/>
  <c r="G152" i="1"/>
  <c r="B152" i="1"/>
  <c r="G151" i="1"/>
  <c r="B151" i="1"/>
  <c r="G150" i="1"/>
  <c r="B150" i="1"/>
  <c r="G149" i="1"/>
  <c r="B149" i="1"/>
  <c r="G148" i="1"/>
  <c r="B148" i="1"/>
  <c r="G147" i="1"/>
  <c r="B147" i="1"/>
  <c r="G146" i="1"/>
  <c r="B146" i="1"/>
  <c r="G145" i="1"/>
  <c r="B145" i="1"/>
  <c r="G144" i="1"/>
  <c r="B144" i="1"/>
  <c r="G143" i="1"/>
  <c r="B143" i="1"/>
  <c r="G142" i="1"/>
  <c r="B142" i="1"/>
  <c r="G141" i="1"/>
  <c r="B141" i="1"/>
  <c r="G140" i="1"/>
  <c r="B140" i="1"/>
  <c r="G139" i="1"/>
  <c r="B139" i="1"/>
  <c r="G138" i="1"/>
  <c r="B138" i="1"/>
  <c r="G137" i="1"/>
  <c r="B137" i="1"/>
  <c r="G136" i="1"/>
  <c r="B136" i="1"/>
  <c r="G135" i="1"/>
  <c r="B135" i="1"/>
  <c r="G134" i="1"/>
  <c r="B134" i="1"/>
  <c r="G133" i="1"/>
  <c r="B133" i="1"/>
  <c r="G132" i="1"/>
  <c r="B132" i="1"/>
  <c r="G131" i="1"/>
  <c r="B131" i="1"/>
  <c r="G130" i="1"/>
  <c r="B130" i="1"/>
  <c r="G129" i="1"/>
  <c r="B129" i="1"/>
  <c r="G128" i="1"/>
  <c r="B128" i="1"/>
  <c r="G127" i="1"/>
  <c r="B127" i="1"/>
  <c r="G126" i="1"/>
  <c r="B126" i="1"/>
  <c r="G125" i="1"/>
  <c r="B125" i="1"/>
  <c r="G124" i="1"/>
  <c r="B124" i="1"/>
  <c r="G123" i="1"/>
  <c r="B123" i="1"/>
  <c r="G122" i="1"/>
  <c r="B122" i="1"/>
  <c r="G121" i="1"/>
  <c r="B121" i="1"/>
  <c r="G120" i="1"/>
  <c r="B120" i="1"/>
  <c r="G119" i="1"/>
  <c r="B119" i="1"/>
  <c r="G118" i="1"/>
  <c r="B118" i="1"/>
  <c r="G117" i="1"/>
  <c r="B117" i="1"/>
  <c r="G116" i="1"/>
  <c r="B116" i="1"/>
  <c r="G115" i="1"/>
  <c r="B115" i="1"/>
  <c r="G114" i="1"/>
  <c r="B114" i="1"/>
  <c r="G113" i="1"/>
  <c r="B113" i="1"/>
  <c r="G112" i="1"/>
  <c r="B112" i="1"/>
  <c r="G111" i="1"/>
  <c r="B111" i="1"/>
  <c r="G110" i="1"/>
  <c r="B110" i="1"/>
  <c r="G109" i="1"/>
  <c r="B109" i="1"/>
  <c r="G108" i="1"/>
  <c r="B108" i="1"/>
  <c r="G107" i="1"/>
  <c r="B107" i="1"/>
  <c r="G106" i="1"/>
  <c r="B106" i="1"/>
  <c r="G105" i="1"/>
  <c r="B105" i="1"/>
  <c r="G104" i="1"/>
  <c r="B104" i="1"/>
  <c r="G103" i="1"/>
  <c r="B103" i="1"/>
  <c r="G102" i="1"/>
  <c r="B102" i="1"/>
  <c r="G101" i="1"/>
  <c r="B101" i="1"/>
  <c r="G100" i="1"/>
  <c r="B100" i="1"/>
  <c r="G99" i="1"/>
  <c r="B99" i="1"/>
  <c r="G98" i="1"/>
  <c r="B98" i="1"/>
  <c r="G97" i="1"/>
  <c r="B97" i="1"/>
  <c r="G96" i="1"/>
  <c r="B96" i="1"/>
  <c r="G95" i="1"/>
  <c r="B95" i="1"/>
  <c r="G94" i="1"/>
  <c r="B94" i="1"/>
  <c r="G93" i="1"/>
  <c r="B93" i="1"/>
  <c r="G92" i="1"/>
  <c r="B92" i="1"/>
  <c r="G91" i="1"/>
  <c r="B91" i="1"/>
  <c r="G90" i="1"/>
  <c r="B90" i="1"/>
  <c r="G89" i="1"/>
  <c r="B89" i="1"/>
  <c r="G88" i="1"/>
  <c r="B88" i="1"/>
  <c r="G87" i="1"/>
  <c r="B87" i="1"/>
  <c r="G86" i="1"/>
  <c r="B86" i="1"/>
  <c r="G85" i="1"/>
  <c r="B85" i="1"/>
  <c r="G84" i="1"/>
  <c r="B84" i="1"/>
  <c r="G83" i="1"/>
  <c r="B83" i="1"/>
  <c r="G82" i="1"/>
  <c r="B82" i="1"/>
  <c r="G81" i="1"/>
  <c r="B81" i="1"/>
  <c r="G80" i="1"/>
  <c r="B80" i="1"/>
  <c r="G79" i="1"/>
  <c r="B79" i="1"/>
  <c r="G78" i="1"/>
  <c r="B78" i="1"/>
  <c r="B77" i="1"/>
  <c r="B76" i="1"/>
  <c r="B75" i="1"/>
  <c r="B74" i="1"/>
  <c r="B73" i="1"/>
  <c r="B72" i="1"/>
  <c r="B71" i="1"/>
  <c r="B70" i="1"/>
  <c r="B69" i="1"/>
  <c r="B68" i="1"/>
  <c r="B67" i="1"/>
  <c r="B66" i="1"/>
  <c r="B65" i="1"/>
  <c r="B64" i="1"/>
  <c r="B63" i="1"/>
  <c r="B62" i="1"/>
  <c r="B61" i="1"/>
  <c r="B60" i="1"/>
  <c r="B59" i="1"/>
  <c r="B58" i="1"/>
  <c r="B57" i="1"/>
  <c r="B56" i="1"/>
  <c r="B55" i="1"/>
  <c r="B54" i="1"/>
  <c r="B53" i="1"/>
  <c r="B52" i="1"/>
  <c r="B51" i="1"/>
  <c r="B50" i="1"/>
  <c r="B49" i="1"/>
  <c r="B48" i="1"/>
  <c r="B47" i="1"/>
  <c r="B46" i="1"/>
  <c r="B45" i="1"/>
  <c r="B44" i="1"/>
  <c r="B43" i="1"/>
  <c r="G42" i="1"/>
  <c r="B42" i="1"/>
  <c r="G41" i="1"/>
  <c r="B41" i="1"/>
  <c r="G40" i="1"/>
  <c r="B40" i="1"/>
  <c r="G39" i="1"/>
  <c r="B39" i="1"/>
  <c r="G38" i="1"/>
  <c r="B38" i="1"/>
  <c r="G37" i="1"/>
  <c r="B37" i="1"/>
  <c r="G36" i="1"/>
  <c r="B36" i="1"/>
  <c r="G35" i="1"/>
  <c r="B35" i="1"/>
  <c r="G34" i="1"/>
  <c r="B34" i="1"/>
  <c r="G33" i="1"/>
  <c r="B33" i="1"/>
  <c r="G32" i="1"/>
  <c r="B32" i="1"/>
  <c r="G31" i="1"/>
  <c r="B31" i="1"/>
  <c r="G30" i="1"/>
  <c r="B30" i="1"/>
  <c r="G29" i="1"/>
  <c r="B29" i="1"/>
  <c r="G28" i="1"/>
  <c r="B28" i="1"/>
  <c r="G27" i="1"/>
  <c r="B27" i="1"/>
  <c r="G26" i="1"/>
  <c r="B26" i="1"/>
  <c r="G25" i="1"/>
  <c r="B25" i="1"/>
  <c r="G24" i="1"/>
  <c r="B24" i="1"/>
  <c r="G23" i="1"/>
  <c r="B23" i="1"/>
  <c r="G22" i="1"/>
  <c r="B22" i="1"/>
  <c r="G21" i="1"/>
  <c r="B21" i="1"/>
  <c r="G20" i="1"/>
  <c r="B20" i="1"/>
  <c r="G19" i="1"/>
  <c r="B19" i="1"/>
  <c r="G18" i="1"/>
  <c r="B18" i="1"/>
  <c r="G17" i="1"/>
  <c r="B17" i="1"/>
  <c r="G16" i="1"/>
  <c r="B16" i="1"/>
  <c r="G15" i="1"/>
  <c r="B15" i="1"/>
  <c r="G14" i="1"/>
  <c r="B14" i="1"/>
  <c r="G13" i="1"/>
  <c r="B13" i="1"/>
  <c r="G12" i="1"/>
  <c r="B12" i="1"/>
  <c r="G11" i="1"/>
  <c r="B11" i="1"/>
  <c r="G10" i="1"/>
  <c r="B10" i="1"/>
  <c r="G9" i="1"/>
  <c r="B9" i="1"/>
  <c r="G8" i="1"/>
  <c r="B8" i="1"/>
  <c r="G7" i="1"/>
  <c r="B7" i="1"/>
  <c r="B6" i="1"/>
  <c r="G5" i="1"/>
  <c r="B5" i="1"/>
  <c r="B4" i="1"/>
  <c r="B3" i="1"/>
  <c r="B2" i="1"/>
</calcChain>
</file>

<file path=xl/sharedStrings.xml><?xml version="1.0" encoding="utf-8"?>
<sst xmlns="http://schemas.openxmlformats.org/spreadsheetml/2006/main" count="8425" uniqueCount="2941">
  <si>
    <t>Steve Madden Women's Jacket with Fur Lined Hood Black / S</t>
  </si>
  <si>
    <t>S886785574291</t>
  </si>
  <si>
    <t>Steve Madden Women's Jacket with Fur Lined Hood Navy / L</t>
  </si>
  <si>
    <t>S886785574314</t>
  </si>
  <si>
    <t>https://cdn.shopify.com/s/files/1/0471/0885/products/s886785574291par_steve_20madden_20women_27s_20jacket_20with_20fur_20lined_20hood_20navy-1.jpg?v=1708941024</t>
  </si>
  <si>
    <t>Steve Madden Women's Jacket with Fur Lined Hood Navy / M</t>
  </si>
  <si>
    <t>S886785574321</t>
  </si>
  <si>
    <t>Steve Madden Women's Jacket with Fur Lined Hood Navy / S</t>
  </si>
  <si>
    <t>S886785574338</t>
  </si>
  <si>
    <t>Madden Girl Women's Lightweight Outerwear Jacket Dusty Pink / L</t>
  </si>
  <si>
    <t>S192334767725</t>
  </si>
  <si>
    <t>https://cdn.shopify.com/s/files/1/0471/0885/products/S192334767749-jpg-3.jpg?v=1708915055</t>
  </si>
  <si>
    <t>OLJ353H</t>
  </si>
  <si>
    <t>Madden Girl Women's Lightweight Outerwear Jacket Dusty Pink / M</t>
  </si>
  <si>
    <t>S192334767732</t>
  </si>
  <si>
    <t>Madden Girl Women's Lightweight Outerwear Jacket Black / M</t>
  </si>
  <si>
    <t>S192334710837</t>
  </si>
  <si>
    <t>https://cdn.shopify.com/s/files/1/0471/0885/products/192334710837.jpg?v=1736283403</t>
  </si>
  <si>
    <t>Super Triple Goose Men's Parka Jacket Black/Charcoal / L</t>
  </si>
  <si>
    <t>S196096890042</t>
  </si>
  <si>
    <t>https://cdn.shopify.com/s/files/1/0471/0885/files/196096890035-1.jpg?v=1704222961</t>
  </si>
  <si>
    <t>Super Triple Goose</t>
  </si>
  <si>
    <t>Black/Charcoal</t>
  </si>
  <si>
    <t>OMST103</t>
  </si>
  <si>
    <t>Super Triple Goose Men's Parka Jacket Black/Charcoal / XL</t>
  </si>
  <si>
    <t>S196096890059</t>
  </si>
  <si>
    <t>Super Triple Goose Men's Parka Jacket Olive/Dusty Olive / XL</t>
  </si>
  <si>
    <t>S196096890011</t>
  </si>
  <si>
    <t>https://cdn.shopify.com/s/files/1/0471/0885/files/196096889992-1.jpg?v=1701970025</t>
  </si>
  <si>
    <t>Olive/Dusty Olive</t>
  </si>
  <si>
    <t>UGG Women's Classic Mini Side Logo Boots Burnt Olive/Pollen / 6</t>
  </si>
  <si>
    <t>S194715773448</t>
  </si>
  <si>
    <t>https://cdn.shopify.com/s/files/1/0471/0885/files/UGG-Women_s-Classic-Mini-Side-Logo-Boots_-1860880.jpg?v=1711617762</t>
  </si>
  <si>
    <t>UGG</t>
  </si>
  <si>
    <t>Burnt Olive/Pollen</t>
  </si>
  <si>
    <t>1122558-BOPLL</t>
  </si>
  <si>
    <t>UGG Women's Classic Mini Side Logo Boots Burnt Olive/Pollen / 7</t>
  </si>
  <si>
    <t>S194715773509</t>
  </si>
  <si>
    <t>Under Armour Girl's Surprise Short Sleeve Shirt Assorted / XS</t>
  </si>
  <si>
    <t>S682327159007</t>
  </si>
  <si>
    <t>https://cdn.shopify.com/s/files/1/0471/0885/files/Girls-Surprise-Tee.jpg?v=1694028860</t>
  </si>
  <si>
    <t>Under Armour</t>
  </si>
  <si>
    <t>Under Armour Men's Long Sleeve Locker Tee Black / Metallic Silver / 2XL</t>
  </si>
  <si>
    <t>S191169062319</t>
  </si>
  <si>
    <t>https://cdn.shopify.com/s/files/1/0471/0885/files/Black_3b8b7f4f-db0d-46ee-a0e0-611510734a22_430x.jpg?v=1734983109#</t>
  </si>
  <si>
    <t>Black / Metallic Silver</t>
  </si>
  <si>
    <t>1305776-001</t>
  </si>
  <si>
    <t>Under Armour Men's Long Sleeve Locker Tee Black / Metallic Silver / L</t>
  </si>
  <si>
    <t>S191169062296</t>
  </si>
  <si>
    <t>Under Armour Men's Long Sleeve Locker Tee Black / Metallic Silver / XL</t>
  </si>
  <si>
    <t>S191169062302</t>
  </si>
  <si>
    <t>Under Armour Men's Short Sleeve 2.0 Locker Tee White / Graphite / 4XL</t>
  </si>
  <si>
    <t>S191169075197</t>
  </si>
  <si>
    <t>White / Graphite</t>
  </si>
  <si>
    <t>4XL</t>
  </si>
  <si>
    <t>Under Armour Men's Surprise Short Sleeve Shirt Assorted / L</t>
  </si>
  <si>
    <t>S685248500439</t>
  </si>
  <si>
    <t>Under Armour Women's Heathered Tech Twist T-Shirt Navy / M</t>
  </si>
  <si>
    <t>S196039002525</t>
  </si>
  <si>
    <t>https://cdn.shopify.com/s/files/1/0471/0885/files/UnderArmourWomen_sHeatheredTechTwistT-Shirt_Navy-1.jpg?v=1727196567</t>
  </si>
  <si>
    <t>Under Armour Women's Short Sleeve Locker 2.0 Tee Forest Green / Metallic Slate / M</t>
  </si>
  <si>
    <t>S191169066812</t>
  </si>
  <si>
    <t>Forest Green / Metallic Slate</t>
  </si>
  <si>
    <t>1305510-301</t>
  </si>
  <si>
    <t>Under Armour Women's Short Sleeve Locker 2.0 Tee Medium Navy / Metallic Slate / XL</t>
  </si>
  <si>
    <t>S191169066997</t>
  </si>
  <si>
    <t>Medium Navy / Metallic Slate</t>
  </si>
  <si>
    <t>1305510-410</t>
  </si>
  <si>
    <t>Under Armour Men's Playoff 3.0 Albatross Jacquard Polo Black / M</t>
  </si>
  <si>
    <t>S197418055316</t>
  </si>
  <si>
    <t>UM0950999</t>
  </si>
  <si>
    <t>Under Armour Men's Tech Polo Stealth Grey / White / M</t>
  </si>
  <si>
    <t>S195252472337</t>
  </si>
  <si>
    <t>Stealth Grey / White</t>
  </si>
  <si>
    <t>Under Armour Men's Tech Polo Stealth Grey / White / S</t>
  </si>
  <si>
    <t>S195252472351</t>
  </si>
  <si>
    <t>Under Armour Men's Squad 3.0 Full Zip Jacket Navy / S</t>
  </si>
  <si>
    <t>S195252470159</t>
  </si>
  <si>
    <t>Under Armour Men's CGI Shield 2.0 Hooded Jacket Pitch Grey / 2XL</t>
  </si>
  <si>
    <t>S196883192724</t>
  </si>
  <si>
    <t>https://cdn.shopify.com/s/files/1/0471/0885/files/Under-Armour-Men_s-CGI-Shield-2.0-Hooded-Jacket_Pitch-Grey-1_430x.png?v=1735587429#</t>
  </si>
  <si>
    <t>Pitch Grey</t>
  </si>
  <si>
    <t>Under Armour Men's CGI Shield 2.0 Hooded Jacket Pitch Grey / L</t>
  </si>
  <si>
    <t>S196883192816</t>
  </si>
  <si>
    <t>Under Armour Men's CGI Shield 2.0 Hooded Jacket Pitch Grey / M</t>
  </si>
  <si>
    <t>S196883192779</t>
  </si>
  <si>
    <t>Under Armour Men's CGI Shield 2.0 Hooded Jacket Pitch Grey / S</t>
  </si>
  <si>
    <t>S196883192762</t>
  </si>
  <si>
    <t>Under Armour Men's CGI Shield 2.0 Hooded Jacket Pitch Grey / XL</t>
  </si>
  <si>
    <t>S196883192793</t>
  </si>
  <si>
    <t>Under Armour Men's Tempo Fleece Quarter Zip Academy Heather / S</t>
  </si>
  <si>
    <t>S196634646933</t>
  </si>
  <si>
    <t>https://cdn.shopify.com/s/files/1/0471/0885/products/S196634646759_Under-Armour-Men_s-Tempo-Fleece-Quarter-Zip-Academy-Heather.jpg?v=1717253474</t>
  </si>
  <si>
    <t>Academy Heather</t>
  </si>
  <si>
    <t>UM1302109H</t>
  </si>
  <si>
    <t>Under Armour Women's Windstrike Jacket Stealth Grey/White / XS</t>
  </si>
  <si>
    <t>S191633996492</t>
  </si>
  <si>
    <t>https://cdn.shopify.com/s/files/1/0471/0885/products/1317222_UnderArmourWomen_sWindstrikeJacket-1.jpg?v=1658323764</t>
  </si>
  <si>
    <t>Stealth Grey/White</t>
  </si>
  <si>
    <t>Under Armour Women's Tempo Fleece Full Zip Academy Heather / M</t>
  </si>
  <si>
    <t>S196634778597</t>
  </si>
  <si>
    <t>https://cdn.shopify.com/s/files/1/0471/0885/products/S196634778573_Under-Armour-Women_s-Tempo-Fleece-Full-Zip-Academy-Heather.jpg?v=1717253493</t>
  </si>
  <si>
    <t>UW1426109H</t>
  </si>
  <si>
    <t>Under Armour Women's Tempo Fleece Full Zip Academy Heather / S</t>
  </si>
  <si>
    <t>S196634778573</t>
  </si>
  <si>
    <t>Under Armour Women's Tempo Fleece Full Zip Academy Heather / XS</t>
  </si>
  <si>
    <t>S196634778580</t>
  </si>
  <si>
    <t>Rainforest Men's The Dockside Polo White / L</t>
  </si>
  <si>
    <t>S195206106509</t>
  </si>
  <si>
    <t>Rainforest Men's The Dockside Polo White / M</t>
  </si>
  <si>
    <t>S195206106493</t>
  </si>
  <si>
    <t>Rainforest Men's The Dockside Polo White / XL</t>
  </si>
  <si>
    <t>S195206106516</t>
  </si>
  <si>
    <t>Realtree Men's RTA Real Buffalo Hoodie Black / M</t>
  </si>
  <si>
    <t>S887364005335</t>
  </si>
  <si>
    <t>https://cdn.shopify.com/s/files/1/0471/0885/files/REALBUFFALO-BODY-FRONT-BLACK.png?v=1729799766</t>
  </si>
  <si>
    <t>Realtree</t>
  </si>
  <si>
    <t>SO18140E</t>
  </si>
  <si>
    <t>Realtree Men's RTA University of RT Hoodie Black / L</t>
  </si>
  <si>
    <t>S887364005144</t>
  </si>
  <si>
    <t>https://cdn.shopify.com/s/files/1/0471/0885/files/UNIVERSITYOF-BODY-FRONT-RTCHARCOALSOLID.png?v=1729799882</t>
  </si>
  <si>
    <t>SO804200</t>
  </si>
  <si>
    <t>Reebok Men's 3 Pack Featherweight Long Leg Boxer Briefs Black/Blackened Pearl/Sharkskin Stripe / L</t>
  </si>
  <si>
    <t>S766159496636</t>
  </si>
  <si>
    <t>https://cdn.shopify.com/s/files/1/0471/0885/files/RDM231PB966.jpg?v=1713379336</t>
  </si>
  <si>
    <t>Reebok</t>
  </si>
  <si>
    <t>Black/Blackened Pearl/Sharkskin Stripe</t>
  </si>
  <si>
    <t>RDM231PB966</t>
  </si>
  <si>
    <t>Underwear</t>
  </si>
  <si>
    <t>Reebok Men's Linear Elastic Hem Fleece Pants Grey Heather/Green / 2XL</t>
  </si>
  <si>
    <t>S195735227416</t>
  </si>
  <si>
    <t>Grey Heather/Green</t>
  </si>
  <si>
    <t>GA0369</t>
  </si>
  <si>
    <t>Sweatpants</t>
  </si>
  <si>
    <t>Reebok Women's Run With It Shorts Black / S</t>
  </si>
  <si>
    <t>S196067150403</t>
  </si>
  <si>
    <t>https://cdn.shopify.com/s/files/1/0471/0885/files/196067150502-1black.jpg?v=1721768812</t>
  </si>
  <si>
    <t>REW221SH11-S143</t>
  </si>
  <si>
    <t>Reebok Women's Run Woven Jacket Night Black / L</t>
  </si>
  <si>
    <t>S195742625564</t>
  </si>
  <si>
    <t>https://cdn.shopify.com/s/files/1/0471/0885/files/195742625656-1.jpg?v=1710428910</t>
  </si>
  <si>
    <t>Night Black</t>
  </si>
  <si>
    <t>105844-001</t>
  </si>
  <si>
    <t>Reebok Women's Run Woven Jacket Night Black / S</t>
  </si>
  <si>
    <t>S195742625656</t>
  </si>
  <si>
    <t>Reebok Women's Run Woven Jacket Night Black / XL</t>
  </si>
  <si>
    <t>S195742625571</t>
  </si>
  <si>
    <t>Reebok Women's Running Woven Jacket Night Black / M</t>
  </si>
  <si>
    <t>S195744757669</t>
  </si>
  <si>
    <t>https://cdn.shopify.com/s/files/1/0471/0885/files/195744757690-1.jpg?v=1712331370</t>
  </si>
  <si>
    <t>111094-001</t>
  </si>
  <si>
    <t>Reebok Women's Running Woven Jacket Night Black / S</t>
  </si>
  <si>
    <t>S195744757690</t>
  </si>
  <si>
    <t>Reebok Women's Running Woven Jacket Night Black / XL</t>
  </si>
  <si>
    <t>S195744757614</t>
  </si>
  <si>
    <t>Reebok Women's Snow Fleece Jacket Black / L</t>
  </si>
  <si>
    <t>S197675888771</t>
  </si>
  <si>
    <t>https://cdn.shopify.com/s/files/1/0471/0885/files/ReebokWomen_sSnowFleeceJacket_Black-1.jpg?v=1731081607</t>
  </si>
  <si>
    <t>OLRB888</t>
  </si>
  <si>
    <t>Reebok Women's Snow Fleece Jacket Black / M</t>
  </si>
  <si>
    <t>S197675888764</t>
  </si>
  <si>
    <t>Reebok Women's Snow Fleece Jacket Black / S</t>
  </si>
  <si>
    <t>S197675888757</t>
  </si>
  <si>
    <t>Reebok Men's Climb Jacket Black / L</t>
  </si>
  <si>
    <t>S197675711673</t>
  </si>
  <si>
    <t>https://cdn.shopify.com/s/files/1/0471/0885/files/ReebokMen_sClimbJacket_Black-1.jpg?v=1731082848</t>
  </si>
  <si>
    <t>RB1359</t>
  </si>
  <si>
    <t>Reebok Men's Climb Jacket Black / XL</t>
  </si>
  <si>
    <t>S197675711680</t>
  </si>
  <si>
    <t>Reebok Men's Climb Jacket Cargo Green / 2XL</t>
  </si>
  <si>
    <t>S197675711482</t>
  </si>
  <si>
    <t>https://cdn.shopify.com/s/files/1/0471/0885/files/ReebokMen_sClimbJacket_CargoGreen-1.jpg?v=1731082848</t>
  </si>
  <si>
    <t>Cargo Green</t>
  </si>
  <si>
    <t>Reebok Men's Climb Jacket Cargo Green / L</t>
  </si>
  <si>
    <t>S197675711468</t>
  </si>
  <si>
    <t>Reebok Men's Climb Jacket Cargo Green / XL</t>
  </si>
  <si>
    <t>S197675711475</t>
  </si>
  <si>
    <t>Reebok Men's Climb Jacket Charcoal Heather / 2XL</t>
  </si>
  <si>
    <t>S197675711543</t>
  </si>
  <si>
    <t>https://cdn.shopify.com/s/files/1/0471/0885/files/ReebokMen_sClimbJacket_Heather-1.jpg?v=1731082848</t>
  </si>
  <si>
    <t>Reebok Men's Climb Jacket Charcoal Heather / L</t>
  </si>
  <si>
    <t>S197675711529</t>
  </si>
  <si>
    <t>Reebok Men's Climb Jacket Charcoal Heather / XL</t>
  </si>
  <si>
    <t>S197675711536</t>
  </si>
  <si>
    <t>Reebok Men's Polar Fleece Jacket Black / XL</t>
  </si>
  <si>
    <t>S197675629671</t>
  </si>
  <si>
    <t>https://cdn.shopify.com/s/files/1/0471/0885/files/ReebokMen_sPolarFleeceJacket_Black_1.jpg?v=1731616755</t>
  </si>
  <si>
    <t>RB1293</t>
  </si>
  <si>
    <t>Reebok Men's Polar Fleece Jacket Sand / L</t>
  </si>
  <si>
    <t>S197675629558</t>
  </si>
  <si>
    <t>https://cdn.shopify.com/s/files/1/0471/0885/files/ReebokMen_sPolarFleeceJacket_Sand-1.jpg?v=1731960559</t>
  </si>
  <si>
    <t>Sand</t>
  </si>
  <si>
    <t>Reebok Men's Sherpa Fleece Hoodie Jacket Black / L</t>
  </si>
  <si>
    <t>S197675786565</t>
  </si>
  <si>
    <t>https://cdn.shopify.com/s/files/1/0471/0885/files/ReebokMen_sSherpaFleeceHoodieJacket_Black-1.jpg?v=1732568036</t>
  </si>
  <si>
    <t>OMRB1407</t>
  </si>
  <si>
    <t>Reebok Men's Sherpa Fleece Hoodie Jacket Black / M</t>
  </si>
  <si>
    <t>S197675786558</t>
  </si>
  <si>
    <t>Reebok Men's Sherpa Fleece Hoodie Jacket Black / S</t>
  </si>
  <si>
    <t>S197675786541</t>
  </si>
  <si>
    <t>Reebok Men's Sherpa Fleece Hoodie Jacket Dark Grey Heather / M</t>
  </si>
  <si>
    <t>S197675786503</t>
  </si>
  <si>
    <t>https://cdn.shopify.com/s/files/1/0471/0885/files/ReebokMen_sSherpaFleeceHoodieJacket_Grey-1.jpg?v=1732568036</t>
  </si>
  <si>
    <t>Dark Grey Heather</t>
  </si>
  <si>
    <t>Reebok Men's Sherpa Fleece Hoodie Jacket Dark Grey Heather / S</t>
  </si>
  <si>
    <t>S197675786497</t>
  </si>
  <si>
    <t>Reebok Men's Textured Jacket Black / L</t>
  </si>
  <si>
    <t>S197675712007</t>
  </si>
  <si>
    <t>https://cdn.shopify.com/s/files/1/0471/0885/files/ReebokMen_sTexturedJacket_Black_1.jpg?v=1731613464</t>
  </si>
  <si>
    <t>RB1365</t>
  </si>
  <si>
    <t>Reebok Men's Textured Jacket Black / XL</t>
  </si>
  <si>
    <t>S197675712014</t>
  </si>
  <si>
    <t>Reebok Women's Drawstring Hooded Heavy Mountain Jacket Black / S</t>
  </si>
  <si>
    <t>S197675713899</t>
  </si>
  <si>
    <t>https://cdn.shopify.com/s/files/1/0471/0885/files/ReebokWomen_sDrawstringHoodedHeavyMountainJacket_Black_1.jpg?v=1731609632</t>
  </si>
  <si>
    <t>OLRB821</t>
  </si>
  <si>
    <t>Reebok Women's Drawstring Hooded Heavy Mountain Jacket Medium Grey / L</t>
  </si>
  <si>
    <t>S197675714100</t>
  </si>
  <si>
    <t>https://cdn.shopify.com/s/files/1/0471/0885/files/ReebokWomen_sDrawstringHoodedHeavyMountainJacket_Medium-Grey_1.jpg?v=1731609632</t>
  </si>
  <si>
    <t>Medium Grey</t>
  </si>
  <si>
    <t>Reebok Women's Drawstring Hooded Heavy Mountain Jacket Medium Grey / M</t>
  </si>
  <si>
    <t>S197675714094</t>
  </si>
  <si>
    <t>Reebok Women's Drawstring Hooded Heavy Mountain Jacket Medium Grey / S</t>
  </si>
  <si>
    <t>S197675714087</t>
  </si>
  <si>
    <t>Reebok Women's Honeycomb Fleece Jacket Black / L</t>
  </si>
  <si>
    <t>S197675888696</t>
  </si>
  <si>
    <t>https://cdn.shopify.com/s/files/1/0471/0885/files/ReebokWomen_sHoneycombFleeceJacket_Black_1.jpg?v=1735840022</t>
  </si>
  <si>
    <t>OLRB923</t>
  </si>
  <si>
    <t>Reebok Women's Honeycomb Fleece Jacket Black / M</t>
  </si>
  <si>
    <t>S197675888689</t>
  </si>
  <si>
    <t>Reebok Women's Honeycomb Fleece Jacket Black / S</t>
  </si>
  <si>
    <t>S197675888672</t>
  </si>
  <si>
    <t>Reebok Women's Polar Fleece Jacket Medium Grey / L</t>
  </si>
  <si>
    <t>S197675630127</t>
  </si>
  <si>
    <t>https://cdn.shopify.com/s/files/1/0471/0885/files/ReebokWomen_sPolarFleeceJacket_Grey-1.jpg?v=1731079948</t>
  </si>
  <si>
    <t>OLRB846</t>
  </si>
  <si>
    <t>Reebok Women's Polar Fleece Jacket Medium Grey / S</t>
  </si>
  <si>
    <t>S197675630103</t>
  </si>
  <si>
    <t>Reebok Women's Club C Extra Shoes Chalk / Vintage Chalk / Feel Good Blue / 10</t>
  </si>
  <si>
    <t>S196469343472</t>
  </si>
  <si>
    <t>https://cdn.shopify.com/s/files/1/0471/0885/files/ReebokWomen_sClubCExtraShoes_Chalk-Blue_1.jpg?v=1727795105</t>
  </si>
  <si>
    <t>Chalk / Vintage Chalk / Feel Good Blue</t>
  </si>
  <si>
    <t>Reebok Women's Club C Extra Shoes Chalk / Vintage Chalk / Feel Good Blue / 11</t>
  </si>
  <si>
    <t>S196469343526</t>
  </si>
  <si>
    <t>Reebok Women's Club C Extra Shoes Chalk / Vintage Chalk / Feel Good Blue / 7.5</t>
  </si>
  <si>
    <t>S196469343496</t>
  </si>
  <si>
    <t>Reebok Women's Club C Extra Shoes Chalk / Vintage Chalk / Feel Good Blue / 8</t>
  </si>
  <si>
    <t>S196469347159</t>
  </si>
  <si>
    <t>Reebok Women's Club C Extra Shoes Chalk / Vintage Chalk / Feel Good Blue / 8.5</t>
  </si>
  <si>
    <t>S196469347173</t>
  </si>
  <si>
    <t>Reebok Women's Club C Extra Shoes Chalk / Vintage Chalk / Feel Good Blue / 9</t>
  </si>
  <si>
    <t>S196469347166</t>
  </si>
  <si>
    <t>Reebok Women's Club C Extra Shoes Chalk / Vintage Chalk / Feel Good Blue / 9.5</t>
  </si>
  <si>
    <t>S196469343458</t>
  </si>
  <si>
    <t>Reef Men's Waters Short Sleeve Shirt Black / L</t>
  </si>
  <si>
    <t>S198161080587</t>
  </si>
  <si>
    <t>https://cdn.shopify.com/s/files/1/0471/0885/files/198161080570-1.jpg?v=1713475692</t>
  </si>
  <si>
    <t>Reef</t>
  </si>
  <si>
    <t>3RMEN0920-BLK</t>
  </si>
  <si>
    <t>Reef Men's Waters Short Sleeve Shirt Black / M</t>
  </si>
  <si>
    <t>S198161080570</t>
  </si>
  <si>
    <t>Reef Men's Waters Short Sleeve Shirt Black / S</t>
  </si>
  <si>
    <t>S198161080563</t>
  </si>
  <si>
    <t>Reef Men's Waters Short Sleeve Shirt Black / XL</t>
  </si>
  <si>
    <t>S198161080594</t>
  </si>
  <si>
    <t>Reef Men's Waters Short Sleeve Shirt White / L</t>
  </si>
  <si>
    <t>S198161080648</t>
  </si>
  <si>
    <t>https://cdn.shopify.com/s/files/1/0471/0885/files/198161080631-1.jpg?v=1713475690</t>
  </si>
  <si>
    <t>3RMEN0920-WHT</t>
  </si>
  <si>
    <t>Reef Men's Waters Short Sleeve Shirt White / M</t>
  </si>
  <si>
    <t>S198161080631</t>
  </si>
  <si>
    <t>Reef Men's Waters Short Sleeve Shirt White / S</t>
  </si>
  <si>
    <t>S198161080624</t>
  </si>
  <si>
    <t>Reef Men's Waters Short Sleeve Shirt White / XL</t>
  </si>
  <si>
    <t>S198161080655</t>
  </si>
  <si>
    <t>Reef Men's Burman Boardshorts Caviar / 32</t>
  </si>
  <si>
    <t>S196325385233</t>
  </si>
  <si>
    <t>https://cdn.shopify.com/s/files/1/0471/0885/files/196325385240-1.jpg?v=1713475632</t>
  </si>
  <si>
    <t>Caviar</t>
  </si>
  <si>
    <t>3FMWH0350-024</t>
  </si>
  <si>
    <t>Reef Men's Burman Boardshorts Caviar / 34</t>
  </si>
  <si>
    <t>S196325385257</t>
  </si>
  <si>
    <t>Reef Men's Smith Short Sleeve Knit Shirt Marshmallow / L</t>
  </si>
  <si>
    <t>S195883684598</t>
  </si>
  <si>
    <t>https://cdn.shopify.com/s/files/1/0471/0885/files/195883684581-1.jpg?v=1713475007</t>
  </si>
  <si>
    <t>Marshmallow</t>
  </si>
  <si>
    <t>3FMKS0175-131</t>
  </si>
  <si>
    <t>Reef Men's Smith Short Sleeve Knit Shirt Marshmallow / M</t>
  </si>
  <si>
    <t>S195883684581</t>
  </si>
  <si>
    <t>Reef Men's Smith Short Sleeve Knit Shirt Marshmallow / S</t>
  </si>
  <si>
    <t>S195883684574</t>
  </si>
  <si>
    <t>Reef Men's Smith Short Sleeve Knit Shirt Marshmallow / XL</t>
  </si>
  <si>
    <t>S195883684604</t>
  </si>
  <si>
    <t>Reef Men's Dome Short Sleeve Shirt Black / M</t>
  </si>
  <si>
    <t>S198161106362</t>
  </si>
  <si>
    <t>https://cdn.shopify.com/s/files/1/0471/0885/files/198161106362-1.jpg?v=1713296996</t>
  </si>
  <si>
    <t>3RMEN0921-BLK1</t>
  </si>
  <si>
    <t>Reef Men's Dome Short Sleeve Shirt Black / S</t>
  </si>
  <si>
    <t>S198161106355</t>
  </si>
  <si>
    <t>Reef Men's Dome Short Sleeve Shirt Navy / M</t>
  </si>
  <si>
    <t>S198161106454</t>
  </si>
  <si>
    <t>https://cdn.shopify.com/s/files/1/0471/0885/files/198161106454-1.jpg?v=1713297005</t>
  </si>
  <si>
    <t>3RMEN0921-NVY</t>
  </si>
  <si>
    <t>Reef Men's Dome Short Sleeve Shirt Navy / S</t>
  </si>
  <si>
    <t>S198161106447</t>
  </si>
  <si>
    <t>Reef Men's Dome Short Sleeve Shirt Sand / M</t>
  </si>
  <si>
    <t>S198161106546</t>
  </si>
  <si>
    <t>https://cdn.shopify.com/s/files/1/0471/0885/files/S198161106546-1.jpg?v=1713296996</t>
  </si>
  <si>
    <t>3RMEN0921-SND</t>
  </si>
  <si>
    <t>Reef Men's Dome Short Sleeve Shirt Sand / S</t>
  </si>
  <si>
    <t>S198161106539</t>
  </si>
  <si>
    <t>Reef Men's Dome Short Sleeve Shirt White / M</t>
  </si>
  <si>
    <t>S198161106638</t>
  </si>
  <si>
    <t>https://cdn.shopify.com/s/files/1/0471/0885/files/198161106638-1.jpg?v=1713296996</t>
  </si>
  <si>
    <t>3RMEN0921-WHT</t>
  </si>
  <si>
    <t>Reef Men's Dome Short Sleeve Shirt White / S</t>
  </si>
  <si>
    <t>S198161106621</t>
  </si>
  <si>
    <t>Reef Men's Humboldt Short Sleeve Pocket Shirt Marshmallow / L</t>
  </si>
  <si>
    <t>S194973740619</t>
  </si>
  <si>
    <t>https://cdn.shopify.com/s/files/1/0471/0885/files/194973740619-1.jpg?v=1713474648</t>
  </si>
  <si>
    <t>3FMKS0031-131</t>
  </si>
  <si>
    <t>Reef Men's Humboldt Short Sleeve Pocket Shirt Marshmallow / M</t>
  </si>
  <si>
    <t>S194973740602</t>
  </si>
  <si>
    <t>Reef Men's Humboldt Short Sleeve Pocket Shirt Marshmallow / S</t>
  </si>
  <si>
    <t>S194973740596</t>
  </si>
  <si>
    <t>Reef Men's Humboldt Short Sleeve Pocket Shirt Marshmallow / XL</t>
  </si>
  <si>
    <t>S194973740626</t>
  </si>
  <si>
    <t>Reef Men's Humboldt Short Sleeve Pocket Shirt Sepia Rose / XL</t>
  </si>
  <si>
    <t>S195883681306</t>
  </si>
  <si>
    <t>https://cdn.shopify.com/s/files/1/0471/0885/files/195883681283-1.jpg?v=1713474890</t>
  </si>
  <si>
    <t>Sepia Rose</t>
  </si>
  <si>
    <t>3FMKS0031-661</t>
  </si>
  <si>
    <t>Reef Men's Proof Henley Long Sleeve Shirt Quiet Shade / L</t>
  </si>
  <si>
    <t>S196325383673</t>
  </si>
  <si>
    <t>https://cdn.shopify.com/s/files/1/0471/0885/files/196325383673-1.jpg?v=1708730067</t>
  </si>
  <si>
    <t>Quiet Shade</t>
  </si>
  <si>
    <t>3FMKL0365-030</t>
  </si>
  <si>
    <t>Reef Men's Proof Henley Long Sleeve Shirt Quiet Shade / M</t>
  </si>
  <si>
    <t>S196325383666</t>
  </si>
  <si>
    <t>Reef Men's Proof Henley Long Sleeve Shirt Quiet Shade / S</t>
  </si>
  <si>
    <t>S196325383659</t>
  </si>
  <si>
    <t>Reef Men's Humboldt Short Sleeve Pocket Shirt Caviar / L</t>
  </si>
  <si>
    <t>S195883328010</t>
  </si>
  <si>
    <t>https://cdn.shopify.com/s/files/1/0471/0885/files/195883328003-1.jpg?v=1713474871</t>
  </si>
  <si>
    <t>3FMKS0031-024</t>
  </si>
  <si>
    <t>Reef Men's Humboldt Short Sleeve Pocket Shirt Caviar / M</t>
  </si>
  <si>
    <t>S195883328003</t>
  </si>
  <si>
    <t>Reef Men's Humboldt Short Sleeve Pocket Shirt Caviar / S</t>
  </si>
  <si>
    <t>S195883327990</t>
  </si>
  <si>
    <t>Reef Men's Humboldt Short Sleeve Pocket Shirt Caviar / XL</t>
  </si>
  <si>
    <t>S195883328027</t>
  </si>
  <si>
    <t>Reef Men's Burman Boardshorts Caviar / 36</t>
  </si>
  <si>
    <t>S196325385264</t>
  </si>
  <si>
    <t>Reef Men's Burman Boardshorts Caviar / 38</t>
  </si>
  <si>
    <t>S196325385271</t>
  </si>
  <si>
    <t>Reef Men's Hancock E Waist Shorts Caviar / 2XL</t>
  </si>
  <si>
    <t>S195883691114</t>
  </si>
  <si>
    <t>https://cdn.shopify.com/s/files/1/0471/0885/files/195883691084-1.jpg?v=1713475282</t>
  </si>
  <si>
    <t>3FMWH0288-024</t>
  </si>
  <si>
    <t>Reef Men's Hancock E Waist Shorts Caviar / L</t>
  </si>
  <si>
    <t>S195883691091</t>
  </si>
  <si>
    <t>Reef Men's Hancock E Waist Shorts Caviar / M</t>
  </si>
  <si>
    <t>S195883691084</t>
  </si>
  <si>
    <t>Reef Men's Hancock E Waist Shorts Caviar / S</t>
  </si>
  <si>
    <t>S195883691077</t>
  </si>
  <si>
    <t>Reef Men's Hancock E Waist Shorts Caviar / XL</t>
  </si>
  <si>
    <t>S195883691107</t>
  </si>
  <si>
    <t>Spyder Boy's Circuit Puffer Jacket Black / L</t>
  </si>
  <si>
    <t>S196601905353</t>
  </si>
  <si>
    <t>https://cdn.shopify.com/s/files/1/0471/0885/files/BlackSPFFM32F-001.jpg?v=1714835141</t>
  </si>
  <si>
    <t>Spyder</t>
  </si>
  <si>
    <t>25SPFGM32F-001</t>
  </si>
  <si>
    <t>Boys</t>
  </si>
  <si>
    <t>Spyder Boy's Circuit Puffer Jacket Old Glory / L</t>
  </si>
  <si>
    <t>S196601905438</t>
  </si>
  <si>
    <t>https://cdn.shopify.com/s/files/1/0471/0885/files/OldGlory.jpg?v=1714835147</t>
  </si>
  <si>
    <t>Old Glory</t>
  </si>
  <si>
    <t>25SPFGM32F-408</t>
  </si>
  <si>
    <t>Spyder Boy's Nexus Puffer Jacket Black / M</t>
  </si>
  <si>
    <t>S196601904929</t>
  </si>
  <si>
    <t>https://cdn.shopify.com/s/files/1/0471/0885/files/Spyder-Boy_s-Nexus-Puffer-Jacket_-2822247-2822284.jpg?v=1711647495</t>
  </si>
  <si>
    <t>25SPFGM31F-001</t>
  </si>
  <si>
    <t>Spyder Boy's Nexus Puffer Jacket Frontier / L</t>
  </si>
  <si>
    <t>S196601905230</t>
  </si>
  <si>
    <t>https://cdn.shopify.com/s/files/1/0471/0885/files/Spyder-Boy_s-Nexus-Puffer-Jacket_-2822860-2822871-2822885.jpg?v=1711647502</t>
  </si>
  <si>
    <t>Frontier</t>
  </si>
  <si>
    <t>25SPFGM31F-402</t>
  </si>
  <si>
    <t>Spyder Men's Avalon Shirt Jacket Black / M</t>
  </si>
  <si>
    <t>S196601907227</t>
  </si>
  <si>
    <t>https://cdn.shopify.com/s/files/1/0471/0885/files/196601907227-1.jpg?v=1705074031</t>
  </si>
  <si>
    <t>25SPFGD223-001</t>
  </si>
  <si>
    <t>Spyder Men's Avalon Shirt Jacket Black / S</t>
  </si>
  <si>
    <t>S196601907234</t>
  </si>
  <si>
    <t>Spyder Men's Avalon Shirt Jacket Polar / S</t>
  </si>
  <si>
    <t>S196601905575</t>
  </si>
  <si>
    <t>https://cdn.shopify.com/s/files/1/0471/0885/files/S196601905568-2.jpg?v=1698867668</t>
  </si>
  <si>
    <t>Polar</t>
  </si>
  <si>
    <t>25SPFGD223-069</t>
  </si>
  <si>
    <t>Spyder Men's Bold Wordmark Long Sleeve Tee Black / M</t>
  </si>
  <si>
    <t>S196601120558</t>
  </si>
  <si>
    <t>https://cdn.shopify.com/s/files/1/0471/0885/files/196601120565-1.jpg?v=1721765053</t>
  </si>
  <si>
    <t>SPFFB243-001</t>
  </si>
  <si>
    <t>Spyder Men's Bold Wordmark Tee Black / M</t>
  </si>
  <si>
    <t>S197571199292</t>
  </si>
  <si>
    <t>https://cdn.shopify.com/s/files/1/0471/0885/files/197571199292-1.jpg?v=1721743941</t>
  </si>
  <si>
    <t>25SPSHA063-001</t>
  </si>
  <si>
    <t>Spyder Men's Bold Wordmark Tee Black / S</t>
  </si>
  <si>
    <t>S197571199308</t>
  </si>
  <si>
    <t>Spyder Men's Bold Wordmark Tee Clear Sky / M</t>
  </si>
  <si>
    <t>S197571199452</t>
  </si>
  <si>
    <t>https://cdn.shopify.com/s/files/1/0471/0885/files/197571199445-1_1d0e558f-068d-47ef-ac7a-7731485fb39c.jpg?v=1721743972</t>
  </si>
  <si>
    <t>Clear Sky</t>
  </si>
  <si>
    <t>25SPSHA063-452</t>
  </si>
  <si>
    <t>Spyder Men's Bold Wordmark Tee Clear Sky / S</t>
  </si>
  <si>
    <t>S197571199469</t>
  </si>
  <si>
    <t>Spyder Men's Bold Wordmark Tee Dark Heather Grey / M</t>
  </si>
  <si>
    <t>S197571199339</t>
  </si>
  <si>
    <t>https://cdn.shopify.com/s/files/1/0471/0885/files/197571199339-1.jpg?v=1721743953</t>
  </si>
  <si>
    <t>Dark Heather Grey</t>
  </si>
  <si>
    <t>25SPSHA063-061</t>
  </si>
  <si>
    <t>Spyder Men's Bold Wordmark Tee Dark Heather Grey / S</t>
  </si>
  <si>
    <t>S197571199346</t>
  </si>
  <si>
    <t>Spyder Men's Bold Wordmark Tee White / M</t>
  </si>
  <si>
    <t>S197571199377</t>
  </si>
  <si>
    <t>https://cdn.shopify.com/s/files/1/0471/0885/files/197571199377-1.jpg?v=1721743965</t>
  </si>
  <si>
    <t>25SPSHA063-100</t>
  </si>
  <si>
    <t>Spyder Men's Bold Wordmark Tee White / S</t>
  </si>
  <si>
    <t>S197571199384</t>
  </si>
  <si>
    <t>Spyder Men's Box Quilt 1/4 Zip Pullover Black / S</t>
  </si>
  <si>
    <t>S192636647596</t>
  </si>
  <si>
    <t>https://cdn.shopify.com/s/files/1/0471/0885/files/SpyderMen_sBoxQuilt1-4ZipPullover_Black-1.jpg?v=1729612050</t>
  </si>
  <si>
    <t>SMF026</t>
  </si>
  <si>
    <t>Spyder Men's Box Quilt 1/4 Zip Pullover Grey / L</t>
  </si>
  <si>
    <t>S192636644717</t>
  </si>
  <si>
    <t>Spyder Men's Classic Stripe Logo Polo Black / S</t>
  </si>
  <si>
    <t>S197571199667</t>
  </si>
  <si>
    <t>https://cdn.shopify.com/s/files/1/0471/0885/files/197571199650-1.jpg?v=1712933935</t>
  </si>
  <si>
    <t>25SPSHB003-001</t>
  </si>
  <si>
    <t>Spyder Men's Classic Stripe Logo Polo Dark Heather Grey / M</t>
  </si>
  <si>
    <t>S197571199698</t>
  </si>
  <si>
    <t>https://cdn.shopify.com/s/files/1/0471/0885/files/197571199698-1.jpg?v=1712933935</t>
  </si>
  <si>
    <t>25SPSHB003-061</t>
  </si>
  <si>
    <t>Spyder Men's Classic Stripe Logo Polo Dark Heather Grey / S</t>
  </si>
  <si>
    <t>S197571199704</t>
  </si>
  <si>
    <t>Spyder Men's Classic Stripe Logo Polo Frontier / S</t>
  </si>
  <si>
    <t>S197571199742</t>
  </si>
  <si>
    <t>https://cdn.shopify.com/s/files/1/0471/0885/files/197571199735-1.jpg?v=1712933935</t>
  </si>
  <si>
    <t>25SPSHB003-402</t>
  </si>
  <si>
    <t>Spyder Men's Colorblock Polo Polar / M</t>
  </si>
  <si>
    <t>S197571198738</t>
  </si>
  <si>
    <t>https://cdn.shopify.com/s/files/1/0471/0885/files/197571198738-1.jpg?v=1708730317</t>
  </si>
  <si>
    <t>25SPSHB023-069</t>
  </si>
  <si>
    <t>Spyder Men's Colorblock Polo Polar / S</t>
  </si>
  <si>
    <t>S197571198745</t>
  </si>
  <si>
    <t>Spyder Men's Colorblock Polo White / M</t>
  </si>
  <si>
    <t>S197571198776</t>
  </si>
  <si>
    <t>https://cdn.shopify.com/s/files/1/0471/0885/files/197571198776-1.jpg?v=1708730326</t>
  </si>
  <si>
    <t>25SPSHB023-100</t>
  </si>
  <si>
    <t>Spyder Men's Colorblock Polo White / S</t>
  </si>
  <si>
    <t>S197571198783</t>
  </si>
  <si>
    <t>Spyder Men's Constant Full Zip Jacket Charcoal Heather / M</t>
  </si>
  <si>
    <t>S196601084775</t>
  </si>
  <si>
    <t>https://cdn.shopify.com/s/files/1/0471/0885/products/196601084775-jpg-1.jpg?v=1708946390</t>
  </si>
  <si>
    <t>SPFFD043-065</t>
  </si>
  <si>
    <t>Spyder Men's Constant Full Zip Jacket Charcoal Heather / S</t>
  </si>
  <si>
    <t>S196601084782</t>
  </si>
  <si>
    <t>Spyder Men's Constant Full Zip Jacket Polar / M</t>
  </si>
  <si>
    <t>S196601084850</t>
  </si>
  <si>
    <t>https://cdn.shopify.com/s/files/1/0471/0885/products/S196601084850_Spyder-Men_s-Constant-Full-Zip-Jacket-Polar-1.jpg?v=1708946382</t>
  </si>
  <si>
    <t>SPFFD043-069</t>
  </si>
  <si>
    <t>Spyder Men's Constant Full Zip Jacket Polar / S</t>
  </si>
  <si>
    <t>S196601084867</t>
  </si>
  <si>
    <t>Spyder Men's Cut Fleece 1/4 Zip Pullover Black / S</t>
  </si>
  <si>
    <t>S192636654365</t>
  </si>
  <si>
    <t>https://cdn.shopify.com/s/files/1/0471/0885/files/SpyderMen_sCutFleece1_4ZipPullover_Black-1.jpg?v=1727972653</t>
  </si>
  <si>
    <t>SMF023</t>
  </si>
  <si>
    <t>Spyder Men's Force Full Zip Jacket Black / M</t>
  </si>
  <si>
    <t>S196601890086</t>
  </si>
  <si>
    <t>https://cdn.shopify.com/s/files/1/0471/0885/files/S1966018901092.jpg?v=1696431027</t>
  </si>
  <si>
    <t>25SPFGM123-001</t>
  </si>
  <si>
    <t>Spyder Men's Force Full Zip Jacket Black / S</t>
  </si>
  <si>
    <t>S196601890093</t>
  </si>
  <si>
    <t>Spyder Men's Force Full Zip Jacket Polar / S</t>
  </si>
  <si>
    <t>S196601890130</t>
  </si>
  <si>
    <t>25SPFGM123-069</t>
  </si>
  <si>
    <t>Spyder Men's Half Snap Pullover Black / M</t>
  </si>
  <si>
    <t>S196601907104</t>
  </si>
  <si>
    <t>https://cdn.shopify.com/s/files/1/0471/0885/files/S196601907104-2.jpg?v=1698868913</t>
  </si>
  <si>
    <t>25SPFGD213-001</t>
  </si>
  <si>
    <t>Spyder Men's Half Snap Pullover Black / S</t>
  </si>
  <si>
    <t>S196601907111</t>
  </si>
  <si>
    <t>Spyder Men's Half Snap Pullover Charcaol Heather / M</t>
  </si>
  <si>
    <t>S196601907142</t>
  </si>
  <si>
    <t>https://cdn.shopify.com/s/files/1/0471/0885/files/S196601907142-2.jpg?v=1698868913</t>
  </si>
  <si>
    <t>Charcaol Heather</t>
  </si>
  <si>
    <t>25SPFGD213-065</t>
  </si>
  <si>
    <t>Spyder Men's Half Snap Pullover Charcaol Heather / S</t>
  </si>
  <si>
    <t>S196601907159</t>
  </si>
  <si>
    <t>Spyder Men's Medallion Half Zip Pullover Heather Grey / M</t>
  </si>
  <si>
    <t>S196601906640</t>
  </si>
  <si>
    <t>25SPFGD183-050</t>
  </si>
  <si>
    <t>Spyder Men's Medallion Half Zip Pullover Heather Grey / S</t>
  </si>
  <si>
    <t>S196601906657</t>
  </si>
  <si>
    <t>https://cdn.shopify.com/s/files/1/0471/0885/files/S1966019066402.jpg?v=1696430851</t>
  </si>
  <si>
    <t>Spyder Men's Medallion Half Zip Pullover Moonbeam / M</t>
  </si>
  <si>
    <t>S196601906688</t>
  </si>
  <si>
    <t>https://cdn.shopify.com/s/files/1/0471/0885/files/1966019066882.jpg?v=1696431320</t>
  </si>
  <si>
    <t>Moonbeam</t>
  </si>
  <si>
    <t>25SPFGD183-105</t>
  </si>
  <si>
    <t>Spyder Men's Medallion Half Zip Pullover Moonbeam / S</t>
  </si>
  <si>
    <t>S196601906695</t>
  </si>
  <si>
    <t>Spyder Men's Medallion Half Zip Pullover Tea Leaf / M</t>
  </si>
  <si>
    <t>S196601906763</t>
  </si>
  <si>
    <t>Tea Leaf</t>
  </si>
  <si>
    <t>25SPFGD183-300</t>
  </si>
  <si>
    <t>Spyder Men's Melange Long Sleeve 2 Pocket Shirt Black / M</t>
  </si>
  <si>
    <t>S192636648241</t>
  </si>
  <si>
    <t>https://cdn.shopify.com/s/files/1/0471/0885/files/SpyderMen_sMelangeLongSleeve2PocketShirt_Black-1.jpg?v=1727971608</t>
  </si>
  <si>
    <t>SMS011</t>
  </si>
  <si>
    <t>Spyder Men's Melange Long Sleeve 2 Pocket Shirt Black / S</t>
  </si>
  <si>
    <t>S192636648234</t>
  </si>
  <si>
    <t>Spyder Men's Melange Long Sleeve 2 Pocket Shirt Estate Blue / S</t>
  </si>
  <si>
    <t>S192636645837</t>
  </si>
  <si>
    <t>https://cdn.shopify.com/s/files/1/0471/0885/files/SpyderMen_sMelangeLongSleeve2PocketShirt_Estate-Blue-1.jpg?v=1727971608</t>
  </si>
  <si>
    <t>Estate Blue</t>
  </si>
  <si>
    <t>Spyder Men's Melange Long Sleeve 2 Pocket Shirt Grey / S</t>
  </si>
  <si>
    <t>S192636645882</t>
  </si>
  <si>
    <t>https://cdn.shopify.com/s/files/1/0471/0885/files/SpyderMen_sMelangeLongSleeve2PocketShirt_Grey-1.jpg?v=1727971608</t>
  </si>
  <si>
    <t>Spyder Men's Melange Long Sleeve 2 Pocket Shirt Olive / S</t>
  </si>
  <si>
    <t>S192636648289</t>
  </si>
  <si>
    <t>https://cdn.shopify.com/s/files/1/0471/0885/files/SpyderMen_sMelangeLongSleeve2PocketShirt_Olive-1.jpg?v=1727971608</t>
  </si>
  <si>
    <t>Spyder Men's Mendoza Full Zip Jacket Heather Grey / M</t>
  </si>
  <si>
    <t>S196601083211</t>
  </si>
  <si>
    <t>https://cdn.shopify.com/s/files/1/0471/0885/files/Spyder-Men_s-Mendoza-Full-Zip-Jacket_-2855850.jpg?v=1711648529</t>
  </si>
  <si>
    <t>SPFFD023-050</t>
  </si>
  <si>
    <t>Spyder Men's Mendoza Full Zip Jacket Heather Grey / S</t>
  </si>
  <si>
    <t>S196601083228</t>
  </si>
  <si>
    <t>Spyder Men's Mendoza Full Zip Softshell Jacket Black Polar / Red / L</t>
  </si>
  <si>
    <t>S196601890505</t>
  </si>
  <si>
    <t>https://cdn.shopify.com/s/files/1/0471/0885/files/Spyder-Men_s-Mendoza-Full-Zip-Softshell-Jacket_-2827629.jpg?v=1711647644</t>
  </si>
  <si>
    <t>Black Polar / Red</t>
  </si>
  <si>
    <t>25SPFGM183-001</t>
  </si>
  <si>
    <t>Spyder Men's Mendoza Full Zip Softshell Jacket Black Polar / Red / M</t>
  </si>
  <si>
    <t>S196601890512</t>
  </si>
  <si>
    <t>Spyder Men's Mendoza Full Zip Softshell Jacket Black Polar / Red / S</t>
  </si>
  <si>
    <t>S196601890529</t>
  </si>
  <si>
    <t>Spyder Men's Mendoza Full Zip Softshell Jacket Polar / Black / M</t>
  </si>
  <si>
    <t>S196601890550</t>
  </si>
  <si>
    <t>https://cdn.shopify.com/s/files/1/0471/0885/files/Spyder-Men_s-Mendoza-Full-Zip-Softshell-Jacket_-2828357-2828365-2828342.jpg?v=1711647707</t>
  </si>
  <si>
    <t>Polar / Black</t>
  </si>
  <si>
    <t>25SPFGM183-069</t>
  </si>
  <si>
    <t>Spyder Men's Mendoza Full Zip Softshell Jacket Polar / Black / S</t>
  </si>
  <si>
    <t>S196601890567</t>
  </si>
  <si>
    <t>Spyder Men's Mendoza Half Zip Pullover Black / M</t>
  </si>
  <si>
    <t>S196601912009</t>
  </si>
  <si>
    <t>https://cdn.shopify.com/s/files/1/0471/0885/files/Blacks194753440043par_spyder_20men_27s_20mendoza_20half_20zip_20pullover_20black-1.jpg?v=1708940296</t>
  </si>
  <si>
    <t>25SPFGD083-001</t>
  </si>
  <si>
    <t>Spyder Men's Mendoza Half Zip Pullover Black / S</t>
  </si>
  <si>
    <t>S196601912016</t>
  </si>
  <si>
    <t>Spyder Men's Mendoza Half Zip Pullover Oatmeal Heather / L</t>
  </si>
  <si>
    <t>S196601912498</t>
  </si>
  <si>
    <t>https://cdn.shopify.com/s/files/1/0471/0885/files/SpyderMen_sMendozaHalfZipPullover_OatmealHeather-1.jpg?v=1732119833</t>
  </si>
  <si>
    <t>25SPFGD083-275</t>
  </si>
  <si>
    <t>Spyder Men's Mendoza Half Zip Pullover Oatmeal Heather / M</t>
  </si>
  <si>
    <t>S196601912504</t>
  </si>
  <si>
    <t>Spyder Men's Mendoza Half Zip Pullover Oatmeal Heather / S</t>
  </si>
  <si>
    <t>S196601912511</t>
  </si>
  <si>
    <t>Spyder Men's Mendoza Half Zip Pullover Tea Leaf / S</t>
  </si>
  <si>
    <t>S196601912771</t>
  </si>
  <si>
    <t>https://cdn.shopify.com/s/files/1/0471/0885/files/S196601912764-2.jpg?v=1708940305</t>
  </si>
  <si>
    <t>25SPFGD083-300</t>
  </si>
  <si>
    <t>Spyder Men's Nexus Puffer Jacket Frontier / S</t>
  </si>
  <si>
    <t>S196601889851</t>
  </si>
  <si>
    <t>https://cdn.shopify.com/s/files/1/0471/0885/products/196601111945-jpg-4.jpg?v=1708937871</t>
  </si>
  <si>
    <t>25SPFGM083-402</t>
  </si>
  <si>
    <t>Spyder Men's Nova Full Zip Hybrid Jacket Black Alloy / S</t>
  </si>
  <si>
    <t>S196601888991</t>
  </si>
  <si>
    <t>https://cdn.shopify.com/s/files/1/0471/0885/files/196601888984-2.jpg?v=1693509800</t>
  </si>
  <si>
    <t>Black Alloy</t>
  </si>
  <si>
    <t>25SPFGM193-001</t>
  </si>
  <si>
    <t>Spyder Men's Nova Full Zip Hybrid Jacket Frontier / M</t>
  </si>
  <si>
    <t>S196601889165</t>
  </si>
  <si>
    <t>https://cdn.shopify.com/s/files/1/0471/0885/files/196601889158-2.jpg?v=1705601010</t>
  </si>
  <si>
    <t>25SPFGM193-402</t>
  </si>
  <si>
    <t>Spyder Men's Nova Full Zip Hybrid Jacket Frontier / S</t>
  </si>
  <si>
    <t>S196601889172</t>
  </si>
  <si>
    <t>Spyder Men's Parka Black / S</t>
  </si>
  <si>
    <t>S196601889974</t>
  </si>
  <si>
    <t>https://cdn.shopify.com/s/files/1/0471/0885/products/SPYDER-COAT-jpg-4.jpg?v=1708958394</t>
  </si>
  <si>
    <t>25SPFGM113-001</t>
  </si>
  <si>
    <t>Parka</t>
  </si>
  <si>
    <t>Spyder Men's Parka Polar / M</t>
  </si>
  <si>
    <t>S196601890000</t>
  </si>
  <si>
    <t>https://cdn.shopify.com/s/files/1/0471/0885/files/Polar-1.jpg?v=1708958409</t>
  </si>
  <si>
    <t>25SPFGM113-069</t>
  </si>
  <si>
    <t>Spyder Men's Parka Polar / S</t>
  </si>
  <si>
    <t>S196601890017</t>
  </si>
  <si>
    <t>Spyder Men's Polo Black / M</t>
  </si>
  <si>
    <t>S197571199773</t>
  </si>
  <si>
    <t>https://cdn.shopify.com/s/files/1/0471/0885/files/197571199773-1.jpg?v=1708730295</t>
  </si>
  <si>
    <t>25SPSHB013-001</t>
  </si>
  <si>
    <t>Spyder Men's Polo Black / S</t>
  </si>
  <si>
    <t>S197571199780</t>
  </si>
  <si>
    <t>Spyder Men's Polo Dark Heather Grey / M</t>
  </si>
  <si>
    <t>S197571199810</t>
  </si>
  <si>
    <t>https://cdn.shopify.com/s/files/1/0471/0885/files/197571199810-1.jpg?v=1708730247</t>
  </si>
  <si>
    <t>25SPSHB013-061</t>
  </si>
  <si>
    <t>Spyder Men's Polo Dark Heather Grey / S</t>
  </si>
  <si>
    <t>S197571199827</t>
  </si>
  <si>
    <t>Spyder Men's Polo Red / S</t>
  </si>
  <si>
    <t>S197571199988</t>
  </si>
  <si>
    <t>https://cdn.shopify.com/s/files/1/0471/0885/files/197571199971-1.jpg?v=1708730272</t>
  </si>
  <si>
    <t>Red</t>
  </si>
  <si>
    <t>25SPSHB013-601</t>
  </si>
  <si>
    <t>Spyder Men's Polo Tundra / M</t>
  </si>
  <si>
    <t>S197571199933</t>
  </si>
  <si>
    <t>https://cdn.shopify.com/s/files/1/0471/0885/files/197571199933-1.jpg?v=1708730237</t>
  </si>
  <si>
    <t>Tundra</t>
  </si>
  <si>
    <t>25SPSHB013-443</t>
  </si>
  <si>
    <t>Spyder Men's Polo Tundra / S</t>
  </si>
  <si>
    <t>S197571199940</t>
  </si>
  <si>
    <t>Spyder Men's Polo White / M</t>
  </si>
  <si>
    <t>S197571199858</t>
  </si>
  <si>
    <t>https://cdn.shopify.com/s/files/1/0471/0885/files/197571199858-1.jpg?v=1708730240</t>
  </si>
  <si>
    <t>25SPSHB013-100</t>
  </si>
  <si>
    <t>Spyder Men's Polo White / S</t>
  </si>
  <si>
    <t>S197571199865</t>
  </si>
  <si>
    <t>Spyder Men's Pristine Half Zip Pullover Black / S</t>
  </si>
  <si>
    <t>S196601906817</t>
  </si>
  <si>
    <t>https://cdn.shopify.com/s/files/1/0471/0885/files/1966019068002.jpg?v=1696431271</t>
  </si>
  <si>
    <t>25SPFGD193-001</t>
  </si>
  <si>
    <t>Spyder Men's Pristine Half Zip Pullover Charcoal Heather / M</t>
  </si>
  <si>
    <t>S196601906848</t>
  </si>
  <si>
    <t>https://cdn.shopify.com/s/files/1/0471/0885/files/1966019068482.jpg?v=1696431271</t>
  </si>
  <si>
    <t>25SPFGD193-065</t>
  </si>
  <si>
    <t>Spyder Men's Pristine Half Zip Pullover Charcoal Heather / S</t>
  </si>
  <si>
    <t>S196601906855</t>
  </si>
  <si>
    <t>Spyder Men's Pristine Half Zip Pullover Cinder / S</t>
  </si>
  <si>
    <t>S196601906893</t>
  </si>
  <si>
    <t>https://cdn.shopify.com/s/files/1/0471/0885/files/1966019068862.jpg?v=1696431271</t>
  </si>
  <si>
    <t>Cinder</t>
  </si>
  <si>
    <t>25SPFGD193-241</t>
  </si>
  <si>
    <t>Spyder Men's Raider 2.0 Full Zip Jacket Oatmeal Heather Black / S</t>
  </si>
  <si>
    <t>S196601085260</t>
  </si>
  <si>
    <t>https://cdn.shopify.com/s/files/1/0471/0885/files/Spyder-Men_s-Raider-2.0-Full-Zip-Jacket_-2829496.jpg?v=1711647719</t>
  </si>
  <si>
    <t>Oatmeal Heather Black</t>
  </si>
  <si>
    <t>SPFFD053-275</t>
  </si>
  <si>
    <t>Spyder Men's Ray Half Zip Pullover Hoodie Black / M</t>
  </si>
  <si>
    <t>S196601910883</t>
  </si>
  <si>
    <t>https://cdn.shopify.com/s/files/1/0471/0885/products/s195958138070par_spyder_20men_27s_20ray_20half-zip_20pullover_20hoodie_20black-1b.jpg?v=1708947462</t>
  </si>
  <si>
    <t>25SPFGD073-001</t>
  </si>
  <si>
    <t>Spyder Men's Ray Half Zip Pullover Hoodie Black / S</t>
  </si>
  <si>
    <t>S196601910890</t>
  </si>
  <si>
    <t>Spyder Men's Ray Half Zip Pullover Hoodie Oatmeal Heather / M</t>
  </si>
  <si>
    <t>S196601911163</t>
  </si>
  <si>
    <t>https://cdn.shopify.com/s/files/1/0471/0885/files/S1966019111632.jpg?v=1708947469</t>
  </si>
  <si>
    <t>25SPFGD073-275</t>
  </si>
  <si>
    <t>Spyder Men's Ray Half Zip Pullover Hoodie Oatmeal Heather / S</t>
  </si>
  <si>
    <t>S196601911170</t>
  </si>
  <si>
    <t>Spyder Men's Sherpa Militant Jacket Black / S</t>
  </si>
  <si>
    <t>S196601913273</t>
  </si>
  <si>
    <t>https://cdn.shopify.com/s/files/1/0471/0885/files/196601913266-2.jpg?v=1698865978</t>
  </si>
  <si>
    <t>25SPFGD113-001</t>
  </si>
  <si>
    <t>Spyder Men's Sherpa Militant Jacket Falcon / M</t>
  </si>
  <si>
    <t>S196601913501</t>
  </si>
  <si>
    <t>Falcon</t>
  </si>
  <si>
    <t>25SPFGD113-212</t>
  </si>
  <si>
    <t>Spyder Men's Sherpa Militant Jacket Falcon / S</t>
  </si>
  <si>
    <t>S196601913518</t>
  </si>
  <si>
    <t>https://cdn.shopify.com/s/files/1/0471/0885/files/196601913501-2.jpg?v=1698865978</t>
  </si>
  <si>
    <t>Spyder Men's Sleeve Pocket Windbreaker Black / S</t>
  </si>
  <si>
    <t>S197571179270</t>
  </si>
  <si>
    <t>https://cdn.shopify.com/s/files/1/0471/0885/files/197571179263-1.jpg?v=1708728537</t>
  </si>
  <si>
    <t>25SPSHM023-001</t>
  </si>
  <si>
    <t>Spyder Men's Sleeve Pocket Windbreaker Dark Forest / M</t>
  </si>
  <si>
    <t>S197571179300</t>
  </si>
  <si>
    <t>https://cdn.shopify.com/s/files/1/0471/0885/files/197571179300-1.jpg?v=1708728549</t>
  </si>
  <si>
    <t>Dark Forest</t>
  </si>
  <si>
    <t>25SPSHM023-304</t>
  </si>
  <si>
    <t>Spyder Men's Sleeve Pocket Windbreaker Dark Forest / S</t>
  </si>
  <si>
    <t>S197571179317</t>
  </si>
  <si>
    <t>Spyder Men's Stealth Full Zip Hybrid Jacket Black / M</t>
  </si>
  <si>
    <t>S196601888908</t>
  </si>
  <si>
    <t>https://cdn.shopify.com/s/files/1/0471/0885/files/196601888908-2.jpg?v=1698332470</t>
  </si>
  <si>
    <t>25SPFGM133-001</t>
  </si>
  <si>
    <t>Spyder Men's Stealth Full Zip Hybrid Jacket Black / S</t>
  </si>
  <si>
    <t>S196601888915</t>
  </si>
  <si>
    <t>Spyder Men's Stealth Full Zip Hybrid Jacket Polar / S</t>
  </si>
  <si>
    <t>S196601888953</t>
  </si>
  <si>
    <t>https://cdn.shopify.com/s/files/1/0471/0885/files/196601888946-2.jpg?v=1698332470</t>
  </si>
  <si>
    <t>25SPFGM133-069</t>
  </si>
  <si>
    <t>Spyder Men's Stripe Fleece Full Zip Black / S</t>
  </si>
  <si>
    <t>S192636647497</t>
  </si>
  <si>
    <t>SMF025</t>
  </si>
  <si>
    <t>Spyder Men's Stripe Fleece Full Zip Navy / S</t>
  </si>
  <si>
    <t>S192636644540</t>
  </si>
  <si>
    <t>https://cdn.shopify.com/s/files/1/0471/0885/files/SpyderMen_sStripeFleeceFullZip_Navy-1_18c2f014-beb6-4026-809c-ea1951b27f68.jpg?v=1728506132</t>
  </si>
  <si>
    <t>Spyder Men's Stripe Fleece Full Zip Olive / S</t>
  </si>
  <si>
    <t>S192636644595</t>
  </si>
  <si>
    <t>https://cdn.shopify.com/s/files/1/0471/0885/files/SpyderMen_sStripeFleeceFullZip_Olive-1_e728af9a-5cfe-4d58-87e1-6acb2814691a.jpg?v=1728506132</t>
  </si>
  <si>
    <t>Spyder Men's Sweater Fleece Full Zip Jacket Stone / S</t>
  </si>
  <si>
    <t>S192636647923</t>
  </si>
  <si>
    <t>https://cdn.shopify.com/s/files/1/0471/0885/files/SpyderMen_sSweaterFleeceFullZipJacket_Stone-1.jpg?v=1727889040</t>
  </si>
  <si>
    <t>Stone</t>
  </si>
  <si>
    <t>SMF043</t>
  </si>
  <si>
    <t>Spyder Men's Tricot Pant Black / S</t>
  </si>
  <si>
    <t>S196601528750</t>
  </si>
  <si>
    <t>https://cdn.shopify.com/s/files/1/0471/0885/products/196601528743_Spyder-Men_s-Tricot-Pant-Black-1.jpg?v=1721744071</t>
  </si>
  <si>
    <t>25SPSGC073-001</t>
  </si>
  <si>
    <t>Spyder Men's Tricot Pant Polar / S</t>
  </si>
  <si>
    <t>S196601528910</t>
  </si>
  <si>
    <t>https://cdn.shopify.com/s/files/1/0471/0885/files/196601528903-1.jpg?v=1721744086</t>
  </si>
  <si>
    <t>25SPSGC073-069</t>
  </si>
  <si>
    <t>Spyder Women's Alyce Softshell Jacket With Hood Black Alloy / M</t>
  </si>
  <si>
    <t>S196601891502</t>
  </si>
  <si>
    <t>https://cdn.shopify.com/s/files/1/0471/0885/files/SPFGM225-001-2.jpg?v=1708938952</t>
  </si>
  <si>
    <t>25SPFGM225-001</t>
  </si>
  <si>
    <t>Spyder Women's Alyce Softshell Jacket With Hood White Alloy / M</t>
  </si>
  <si>
    <t>S196601891540</t>
  </si>
  <si>
    <t>https://cdn.shopify.com/s/files/1/0471/0885/products/S196601110078_Spyder-Women_s-Alyce-Softshell-Jacket-With-Hood-White-Alloy-1b.jpg?v=1708938940</t>
  </si>
  <si>
    <t>White Alloy</t>
  </si>
  <si>
    <t>25SPFGM225-100</t>
  </si>
  <si>
    <t>Spyder Women's Boundless Long Puffer Coat Cinder / S</t>
  </si>
  <si>
    <t>S196601912634</t>
  </si>
  <si>
    <t>https://cdn.shopify.com/s/files/1/0471/0885/files/S1966019126272.jpg?v=1708947851</t>
  </si>
  <si>
    <t>25SPFGM045-241</t>
  </si>
  <si>
    <t>Spyder Women's Cara Full Zip Jacket Black / M</t>
  </si>
  <si>
    <t>S196601907784</t>
  </si>
  <si>
    <t>https://cdn.shopify.com/s/files/1/0471/0885/files/Spyder-Women_s-Cara-Full-Zip-Jacket_-2859743-2859785-2859781.jpg?v=1713801113</t>
  </si>
  <si>
    <t>25SPFGD025-001</t>
  </si>
  <si>
    <t>Spyder Women's Cara Full Zip Jacket Black / S</t>
  </si>
  <si>
    <t>S196601907791</t>
  </si>
  <si>
    <t>Spyder Women's Cloud Stretch Knit Jogger Orchid / M</t>
  </si>
  <si>
    <t>S192636657878</t>
  </si>
  <si>
    <t>Orchid</t>
  </si>
  <si>
    <t>SWB018</t>
  </si>
  <si>
    <t>Spyder Women's Core Jogger Heather Grey Moonbeam / L</t>
  </si>
  <si>
    <t>S196601914775</t>
  </si>
  <si>
    <t>https://cdn.shopify.com/s/files/1/0471/0885/files/SPFFC005-050-_1_561dd9c9-605d-4ff1-8efe-3a4a3648e7ad.jpg?v=1721765037</t>
  </si>
  <si>
    <t>Heather Grey Moonbeam</t>
  </si>
  <si>
    <t>25SPFGC005-050</t>
  </si>
  <si>
    <t>Spyder Women's Cowl Neck Pullover Black / M</t>
  </si>
  <si>
    <t>S192636658493</t>
  </si>
  <si>
    <t>https://cdn.shopify.com/s/files/1/0471/0885/files/SpyderWomen_sCowlNeckPullover_Black-1.jpg?v=1728051978</t>
  </si>
  <si>
    <t>SWF001</t>
  </si>
  <si>
    <t>Pullover</t>
  </si>
  <si>
    <t>Spyder Women's Cowl Neck Pullover Light Grey Heather / L</t>
  </si>
  <si>
    <t>S192636658547</t>
  </si>
  <si>
    <t>Spyder Women's Cowl Neck Pullover Light Grey Heather / S</t>
  </si>
  <si>
    <t>S192636658523</t>
  </si>
  <si>
    <t>https://cdn.shopify.com/s/files/1/0471/0885/files/SpyderWomen_sCowlNeckPullover_Grey-1.jpg?v=1728051978</t>
  </si>
  <si>
    <t>Spyder Women's Cowl Neck Pullover Orchid / S</t>
  </si>
  <si>
    <t>S192636658608</t>
  </si>
  <si>
    <t>https://cdn.shopify.com/s/files/1/0471/0885/files/SpyderWomen_sCowlNeckPullover_Orchid-1.jpg?v=1728051978</t>
  </si>
  <si>
    <t>Spyder Women's Cozy Que Sherpa Jacket Black / L</t>
  </si>
  <si>
    <t>S196601912719</t>
  </si>
  <si>
    <t>https://cdn.shopify.com/s/files/1/0471/0885/files/196601912726-2.jpg?v=1698868057</t>
  </si>
  <si>
    <t>25SPFGB245-001</t>
  </si>
  <si>
    <t>Spyder Women's Cozy Que Sherpa Jacket Black / M</t>
  </si>
  <si>
    <t>S196601912726</t>
  </si>
  <si>
    <t>Spyder Women's Cozy Que Sherpa Jacket Moonbeam / L</t>
  </si>
  <si>
    <t>S196601912955</t>
  </si>
  <si>
    <t>https://cdn.shopify.com/s/files/1/0471/0885/files/196601912962-2.jpg?v=1736284060</t>
  </si>
  <si>
    <t>25SPFGB245-105</t>
  </si>
  <si>
    <t>Spyder Women's Explorer Parka Black / M</t>
  </si>
  <si>
    <t>S196601913389</t>
  </si>
  <si>
    <t>https://cdn.shopify.com/s/files/1/0471/0885/files/S196601913617-1_dca61848-0481-4dee-959e-01aa02e290db.jpg?v=1708956824</t>
  </si>
  <si>
    <t>25SPFGM055-001</t>
  </si>
  <si>
    <t>Spyder Women's Full Zip Hybrid Jacket Black / S</t>
  </si>
  <si>
    <t>S196601915314</t>
  </si>
  <si>
    <t>https://cdn.shopify.com/s/files/1/0471/0885/files/196601915307-2.jpg?v=1698866647</t>
  </si>
  <si>
    <t>25SPFGM015-001</t>
  </si>
  <si>
    <t>Spyder Women's Nick Shaggy Fleece Full Zip Black / M</t>
  </si>
  <si>
    <t>S196601086052</t>
  </si>
  <si>
    <t>https://cdn.shopify.com/s/files/1/0471/0885/files/SpyderWomen_sNickShaggyFleeceFullZip_Black-1.jpg?v=1732220163</t>
  </si>
  <si>
    <t>SPFFB085-001</t>
  </si>
  <si>
    <t>Spyder Women's Nick Shaggy Fleece Full Zip Polar / M</t>
  </si>
  <si>
    <t>S196601086137</t>
  </si>
  <si>
    <t>https://cdn.shopify.com/s/files/1/0471/0885/products/SPFFB085-069.jpg?v=1714829376</t>
  </si>
  <si>
    <t>SPFFB085-069</t>
  </si>
  <si>
    <t>Spyder Women's Sherpa Softshell Jacket Black / M</t>
  </si>
  <si>
    <t>S196601891243</t>
  </si>
  <si>
    <t>https://cdn.shopify.com/s/files/1/0471/0885/files/S196601891243-2.jpg?v=1698943840</t>
  </si>
  <si>
    <t>25SPFGM215-001</t>
  </si>
  <si>
    <t>Spyder Women's Stella Jacket Oatmeal Heather / M</t>
  </si>
  <si>
    <t>S196601915505</t>
  </si>
  <si>
    <t>https://cdn.shopify.com/s/files/1/0471/0885/files/Spyder-Women_s-Stella-Jacket_-2835850.jpg?v=1736283368</t>
  </si>
  <si>
    <t>25SPFGD035-275</t>
  </si>
  <si>
    <t>Spyder Women's Stella Jacket Tea Leaf / M</t>
  </si>
  <si>
    <t>S196601910609</t>
  </si>
  <si>
    <t>https://cdn.shopify.com/s/files/1/0471/0885/files/Spyder-Women_s-Stella-Jacket_-2836537.jpg?v=1736283368</t>
  </si>
  <si>
    <t>25SPFGD035-300</t>
  </si>
  <si>
    <t>Spyder Women's Stretch Woven Full Zip Hoodie Black / M</t>
  </si>
  <si>
    <t>S196601890406</t>
  </si>
  <si>
    <t>https://cdn.shopify.com/s/files/1/0471/0885/files/196601890406-2.jpg?v=1693510792</t>
  </si>
  <si>
    <t>25SPFGB325-001</t>
  </si>
  <si>
    <t>Spyder Women's Stretch Woven Full Zip Hoodie Black / S</t>
  </si>
  <si>
    <t>S196601890413</t>
  </si>
  <si>
    <t>Spyder Women's Super Puff Jacket Black / L</t>
  </si>
  <si>
    <t>S196601911279</t>
  </si>
  <si>
    <t>https://cdn.shopify.com/s/files/1/0471/0885/files/Spyder-Women_s-Super-Puff-Jacket_-2837225.jpg?v=1711647945</t>
  </si>
  <si>
    <t>25SPFGM035-001</t>
  </si>
  <si>
    <t>Spyder Women's Super Puff Jacket Black / M</t>
  </si>
  <si>
    <t>S196601911286</t>
  </si>
  <si>
    <t>Spyder Women's Super Puff Jacket Moonbeam / L</t>
  </si>
  <si>
    <t>S196601911552</t>
  </si>
  <si>
    <t>https://cdn.shopify.com/s/files/1/0471/0885/files/Spyder-Women_s-Super-Puff-Jacket_-2837743.jpg?v=1711647979</t>
  </si>
  <si>
    <t>25SPFGM035-105</t>
  </si>
  <si>
    <t>Steve Madden Women's Chevron Jacket Black / M</t>
  </si>
  <si>
    <t>S886785574369</t>
  </si>
  <si>
    <t>https://cdn.shopify.com/s/files/1/0471/0885/products/s886785574376par_steve_20madden_20women_27s_20chevron_20jacket_20black-1.jpg?v=1708941554</t>
  </si>
  <si>
    <t>Steve Madden</t>
  </si>
  <si>
    <t>OLA1477</t>
  </si>
  <si>
    <t>Steve Madden Women's Chevron Jacket Champagne / L</t>
  </si>
  <si>
    <t>S886785574437</t>
  </si>
  <si>
    <t>https://cdn.shopify.com/s/files/1/0471/0885/products/s886785574376par_steve_20madden_20women_27s_20chevron_20jacket_20champagne-1.jpg?v=1708941551</t>
  </si>
  <si>
    <t>Champagne</t>
  </si>
  <si>
    <t>Steve Madden Women's Chevron Jacket Champagne / M</t>
  </si>
  <si>
    <t>S886785574444</t>
  </si>
  <si>
    <t>Steve Madden Women's Chevron Jacket Ice Grey / M</t>
  </si>
  <si>
    <t>S886785574406</t>
  </si>
  <si>
    <t>https://cdn.shopify.com/s/files/1/0471/0885/products/s886785574376par_steve_20madden_20women_27s_20chevron_20jacket_20ice_20grey-1.jpg?v=1708941548</t>
  </si>
  <si>
    <t>Ice Grey</t>
  </si>
  <si>
    <t>Steve Madden Women's Chevron Jacket Ice Grey / S</t>
  </si>
  <si>
    <t>S886785574413</t>
  </si>
  <si>
    <t>Steve Madden Women's Hooded Puffer Jacket Merlot / M</t>
  </si>
  <si>
    <t>S886785574161</t>
  </si>
  <si>
    <t>https://cdn.shopify.com/s/files/1/0471/0885/products/s886785574031par_steve_20madden_20women_27s_20jacket_20merlot-1.jpg?v=1708941487</t>
  </si>
  <si>
    <t>Merlot</t>
  </si>
  <si>
    <t>OLA1475</t>
  </si>
  <si>
    <t>Steve Madden Women's Hooded Puffer Jacket Merlot / S</t>
  </si>
  <si>
    <t>S886785574154</t>
  </si>
  <si>
    <t>Steve Madden Women's Jacket with Faux Fur Hood Black / M</t>
  </si>
  <si>
    <t>S886785574208</t>
  </si>
  <si>
    <t>https://cdn.shopify.com/s/files/1/0471/0885/products/s886785574215par_steve_20madden_20women_27s_20jacket_20with_20faux_20fur_20hood_20black-1_20copy.jpg?v=1708956434</t>
  </si>
  <si>
    <t>OLA1452</t>
  </si>
  <si>
    <t>Steve Madden Women's Jacket with Faux Fur Hood Dusty Pink / L</t>
  </si>
  <si>
    <t>S886785574253</t>
  </si>
  <si>
    <t>https://cdn.shopify.com/s/files/1/0471/0885/products/886785574239-jpg-3.jpg?v=1708956446</t>
  </si>
  <si>
    <t>Dusty Pink</t>
  </si>
  <si>
    <t>Steve Madden Women's Jacket with Faux Fur Hood Dusty Pink / M</t>
  </si>
  <si>
    <t>S886785574246</t>
  </si>
  <si>
    <t>Steve Madden Women's Jacket with Faux Fur Hood Dusty Pink / S</t>
  </si>
  <si>
    <t>S886785574239</t>
  </si>
  <si>
    <t>Steve Madden Women's Jacket with Fur Lined Hood Black / L</t>
  </si>
  <si>
    <t>S886785574277</t>
  </si>
  <si>
    <t>https://cdn.shopify.com/s/files/1/0471/0885/products/886785574291-jpg-8.jpg?v=1708941036</t>
  </si>
  <si>
    <t>OLA1456</t>
  </si>
  <si>
    <t>Steve Madden Women's Jacket with Fur Lined Hood Black / M</t>
  </si>
  <si>
    <t>S886785574284</t>
  </si>
  <si>
    <t>Corkcicle 16 oz Tumbler Rattle / 16 oz</t>
  </si>
  <si>
    <t>S810040310096</t>
  </si>
  <si>
    <t>https://cdn.shopify.com/s/files/1/0471/0885/products/Corkcicle16ozTumblerRattle.jpg?v=1708923795</t>
  </si>
  <si>
    <t>Rattle</t>
  </si>
  <si>
    <t>16 oz</t>
  </si>
  <si>
    <t>2116PR</t>
  </si>
  <si>
    <t>Tumblers</t>
  </si>
  <si>
    <t>Eddie Bauer Men's 3pk Classic Cotton Crew Heather Grey/White/Navy / S</t>
  </si>
  <si>
    <t>S721357481174</t>
  </si>
  <si>
    <t>https://cdn.shopify.com/s/files/1/0471/0885/files/S721357481167-composite.jpg?v=1708730011</t>
  </si>
  <si>
    <t>Eddie Bauer</t>
  </si>
  <si>
    <t>Heather Grey/White/Navy</t>
  </si>
  <si>
    <t>XEB3054-3-409</t>
  </si>
  <si>
    <t>Eddie Bauer Men's 2 Pack Shorts Assorted / 2XL</t>
  </si>
  <si>
    <t>S194134532725</t>
  </si>
  <si>
    <t>https://cdn.shopify.com/s/files/1/0471/0885/files/194134532701-4.jpg?v=1692370185</t>
  </si>
  <si>
    <t>EM11ST252</t>
  </si>
  <si>
    <t>Eddie Bauer Men's 2 Pack Shorts Assorted / XL</t>
  </si>
  <si>
    <t>S194134532718</t>
  </si>
  <si>
    <t>Eddie Bauer Men's Dream Knit Henley Long Sleeve Shirt Black / M</t>
  </si>
  <si>
    <t>S198374122609</t>
  </si>
  <si>
    <t>https://cdn.shopify.com/s/files/1/0471/0885/files/EddieBauerMen_sDreamKnitHenleyLongSleeveShirt_Black-1.jpg?v=1724860925</t>
  </si>
  <si>
    <t>EM34LK030</t>
  </si>
  <si>
    <t>Eddie Bauer Men's Dream Knit Henley Long Sleeve Shirt Black / S</t>
  </si>
  <si>
    <t>S198374122593</t>
  </si>
  <si>
    <t>Eddie Bauer Men's Dream Knit Henley Long Sleeve Shirt Charcoal Heather / M</t>
  </si>
  <si>
    <t>S198374122654</t>
  </si>
  <si>
    <t>Charcoal Heather</t>
  </si>
  <si>
    <t>Eddie Bauer Men's Dream Knit Henley Long Sleeve Shirt Charcoal Heather / S</t>
  </si>
  <si>
    <t>S198374122647</t>
  </si>
  <si>
    <t>https://cdn.shopify.com/s/files/1/0471/0885/files/EddieBauerMen_sDreamKnitHenleyLongSleeveShirt_Charcoal-1.jpg?v=1724860925</t>
  </si>
  <si>
    <t>Eddie Bauer Men's Dream Knit Henley Long Sleeve Shirt Denim Heather / S</t>
  </si>
  <si>
    <t>S198374122692</t>
  </si>
  <si>
    <t>https://cdn.shopify.com/s/files/1/0471/0885/files/EddieBauerMen_sDreamKnitHenleyLongSleeveShirt_Denim-1.jpg?v=1724860925</t>
  </si>
  <si>
    <t>Denim Heather</t>
  </si>
  <si>
    <t>Eddie Bauer Men's Dream Knit Henley Long Sleeve Shirt Light Grey Heather / M</t>
  </si>
  <si>
    <t>S198374122753</t>
  </si>
  <si>
    <t>https://cdn.shopify.com/s/files/1/0471/0885/files/EddieBauerMen_sDreamKnitHenleyLongSleeveShirt_Grey-1.jpg?v=1724860925</t>
  </si>
  <si>
    <t>Light Grey Heather</t>
  </si>
  <si>
    <t>Eddie Bauer Men's Dream Knit Henley Long Sleeve Shirt Light Grey Heather / S</t>
  </si>
  <si>
    <t>S198374122746</t>
  </si>
  <si>
    <t>Eddie Bauer Men's License to Will Long Sleeve Shirt Black / M</t>
  </si>
  <si>
    <t>S840144384518</t>
  </si>
  <si>
    <t>https://cdn.shopify.com/s/files/1/0471/0885/files/S840144384518-2.jpg?v=1690837335</t>
  </si>
  <si>
    <t>EBCL-A0556</t>
  </si>
  <si>
    <t>Eddie Bauer Men's License to Will Long Sleeve Shirt Black / S</t>
  </si>
  <si>
    <t>S840144384501</t>
  </si>
  <si>
    <t>Eddie Bauer Men's License to Will Long Sleeve Shirt Cloud Grey / M</t>
  </si>
  <si>
    <t>S840144384563</t>
  </si>
  <si>
    <t>https://cdn.shopify.com/s/files/1/0471/0885/files/S840144384563-2.jpg?v=1690837931</t>
  </si>
  <si>
    <t>Cloud Grey</t>
  </si>
  <si>
    <t>Eddie Bauer Men's License to Will Long Sleeve Shirt Cloud Grey / S</t>
  </si>
  <si>
    <t>S840144384556</t>
  </si>
  <si>
    <t>Eddie Bauer Men's Long Sleeve Jersey Crew with Chest Pocket Black / L</t>
  </si>
  <si>
    <t>S197256353773</t>
  </si>
  <si>
    <t>https://cdn.shopify.com/s/files/1/0471/0885/files/197256353766-1.jpg?v=1721776544</t>
  </si>
  <si>
    <t>EM33LK016D</t>
  </si>
  <si>
    <t>Eddie Bauer Men's Long Sleeve Jersey Crew with Chest Pocket Black / M</t>
  </si>
  <si>
    <t>S197256353766</t>
  </si>
  <si>
    <t>Eddie Bauer Men's Long Sleeve Jersey Crew with Chest Pocket Black / S</t>
  </si>
  <si>
    <t>S197256353759</t>
  </si>
  <si>
    <t>Eddie Bauer Men's Long Sleeve Jersey Crew with Chest Pocket Dark Olive / S</t>
  </si>
  <si>
    <t>S197256353858</t>
  </si>
  <si>
    <t>https://cdn.shopify.com/s/files/1/0471/0885/files/197256353865-1.jpg?v=1721776534</t>
  </si>
  <si>
    <t>Dark Olive</t>
  </si>
  <si>
    <t>Eddie Bauer Men's Long Sleeve Jersey Crew with Chest Pocket Heather Grey / S</t>
  </si>
  <si>
    <t>S197256353902</t>
  </si>
  <si>
    <t>https://cdn.shopify.com/s/files/1/0471/0885/files/197256353919-1.jpg?v=1721776526</t>
  </si>
  <si>
    <t>Eddie Bauer Men's Long Sleeve Tee Black / S</t>
  </si>
  <si>
    <t>S721357448788</t>
  </si>
  <si>
    <t>https://cdn.shopify.com/s/files/1/0471/0885/files/721357448771-1.jpg?v=1721765080</t>
  </si>
  <si>
    <t>XEB3011-010</t>
  </si>
  <si>
    <t>Eddie Bauer Men's Long Sleeve Tee Light Heather Grey / L</t>
  </si>
  <si>
    <t>S721357448801</t>
  </si>
  <si>
    <t>Light Heather Grey</t>
  </si>
  <si>
    <t>XEB3011</t>
  </si>
  <si>
    <t>Eddie Bauer Men's Long Sleeve Tee Light Heather Grey / M</t>
  </si>
  <si>
    <t>S721357448818</t>
  </si>
  <si>
    <t>Eddie Bauer Men's Long Sleeve Tee Light Heather Grey / S</t>
  </si>
  <si>
    <t>S721357448825</t>
  </si>
  <si>
    <t>https://cdn.shopify.com/s/files/1/0471/0885/files/721357448818-1.jpg?v=1721765086</t>
  </si>
  <si>
    <t>Eddie Bauer Men's Long Sleeve Waffle Pocket Crew Black / L</t>
  </si>
  <si>
    <t>S197256354176</t>
  </si>
  <si>
    <t>https://cdn.shopify.com/s/files/1/0471/0885/files/197256354169-1.jpg?v=1721776662</t>
  </si>
  <si>
    <t>EM33LK481D</t>
  </si>
  <si>
    <t>Eddie Bauer Men's Long Sleeve Waffle Pocket Crew Black / M</t>
  </si>
  <si>
    <t>S197256354169</t>
  </si>
  <si>
    <t>Eddie Bauer Men's Long Sleeve Waffle Pocket Crew Black / S</t>
  </si>
  <si>
    <t>S197256354152</t>
  </si>
  <si>
    <t>Eddie Bauer Men's Long Sleeve Waffle Pocket Crew Charcoal Heather / L</t>
  </si>
  <si>
    <t>S197256354220</t>
  </si>
  <si>
    <t>https://cdn.shopify.com/s/files/1/0471/0885/files/197256354213-1.jpg?v=1721776650</t>
  </si>
  <si>
    <t>Eddie Bauer Men's Long Sleeve Waffle Pocket Crew Dark Olive / S</t>
  </si>
  <si>
    <t>S197256354251</t>
  </si>
  <si>
    <t>https://cdn.shopify.com/s/files/1/0471/0885/files/S197256354268-1.jpg?v=1721776677</t>
  </si>
  <si>
    <t>Eddie Bauer Men's Long Sleeve Waffle Pocket Crew Flax / M</t>
  </si>
  <si>
    <t>S197256354312</t>
  </si>
  <si>
    <t>https://cdn.shopify.com/s/files/1/0471/0885/files/197256354312-1.jpg?v=1721776656</t>
  </si>
  <si>
    <t>Flax</t>
  </si>
  <si>
    <t>Eddie Bauer Men's Plaid Microfleece Pant Red Check / M</t>
  </si>
  <si>
    <t>S197256944155</t>
  </si>
  <si>
    <t>https://cdn.shopify.com/s/files/1/0471/0885/files/EddieBauerMen_sPlaidMicrofleecePant.jpg?v=1731963710</t>
  </si>
  <si>
    <t>Red Check</t>
  </si>
  <si>
    <t>EM33KB023D</t>
  </si>
  <si>
    <t>Sleepwear</t>
  </si>
  <si>
    <t>Eddie Bauer Men's Plaid Microfleece Pant Red Check / S</t>
  </si>
  <si>
    <t>S197256944148</t>
  </si>
  <si>
    <t>Eddie Bauer Men's Short Sleeve T-Shirt Alpine Green / M</t>
  </si>
  <si>
    <t>S197256449742</t>
  </si>
  <si>
    <t>https://cdn.shopify.com/s/files/1/0471/0885/files/1972564497422.jpg?v=1697725094</t>
  </si>
  <si>
    <t>Alpine Green</t>
  </si>
  <si>
    <t>EM33TE200D</t>
  </si>
  <si>
    <t>Eddie Bauer Men's Short Sleeve T-Shirt Alpine Green / S</t>
  </si>
  <si>
    <t>S197256449735</t>
  </si>
  <si>
    <t>Eddie Bauer Men's Short Sleeve T-Shirt Ecru / M</t>
  </si>
  <si>
    <t>S197256449896</t>
  </si>
  <si>
    <t>https://cdn.shopify.com/s/files/1/0471/0885/files/1972564498962.jpg?v=1697725094</t>
  </si>
  <si>
    <t>Ecru</t>
  </si>
  <si>
    <t>Eddie Bauer Men's Short Sleeve T-Shirt Ecru / S</t>
  </si>
  <si>
    <t>S197256449889</t>
  </si>
  <si>
    <t>Eddie Bauer Men's Short Sleeve T-Shirt Ivy Green / S</t>
  </si>
  <si>
    <t>S197256449582</t>
  </si>
  <si>
    <t>https://cdn.shopify.com/s/files/1/0471/0885/files/1972564495992.jpg?v=1697725094</t>
  </si>
  <si>
    <t>Ivy Green</t>
  </si>
  <si>
    <t>Eddie Bauer Men's Short Sleeve T-Shirt Light Grey / M</t>
  </si>
  <si>
    <t>S197256449995</t>
  </si>
  <si>
    <t>https://cdn.shopify.com/s/files/1/0471/0885/files/1972564499952.jpg?v=1697725094</t>
  </si>
  <si>
    <t>Light Grey</t>
  </si>
  <si>
    <t>Eddie Bauer Men's Short Sleeve T-Shirt Light Grey / S</t>
  </si>
  <si>
    <t>S197256449988</t>
  </si>
  <si>
    <t>Eddie Bauer Men's Short Sleeve T-Shirt Red Heather / M</t>
  </si>
  <si>
    <t>S197256450045</t>
  </si>
  <si>
    <t>https://cdn.shopify.com/s/files/1/0471/0885/files/1972564500452.jpg?v=1697725094</t>
  </si>
  <si>
    <t>Red Heather</t>
  </si>
  <si>
    <t>Eddie Bauer Men's Short Sleeve T-Shirt Red Heather / S</t>
  </si>
  <si>
    <t>S197256450038</t>
  </si>
  <si>
    <t>Eddie Bauer Men's Short Sleeve T-Shirt True Blue / M</t>
  </si>
  <si>
    <t>S197256449698</t>
  </si>
  <si>
    <t>https://cdn.shopify.com/s/files/1/0471/0885/files/1972564496982.jpg?v=1697725094</t>
  </si>
  <si>
    <t>True Blue</t>
  </si>
  <si>
    <t>Eddie Bauer Men's Short Sleeve T-Shirt True Blue / S</t>
  </si>
  <si>
    <t>S197256449681</t>
  </si>
  <si>
    <t>Eddie Bauer Men's Crewneck Sweatshirt Atlantic / L</t>
  </si>
  <si>
    <t>S198374128137</t>
  </si>
  <si>
    <t>https://cdn.shopify.com/s/files/1/0471/0885/files/EddieBauerMen_sCrewneckSweatshirt_Atlantic-1.jpg?v=1724872713</t>
  </si>
  <si>
    <t>Atlantic</t>
  </si>
  <si>
    <t>EM34LK005D</t>
  </si>
  <si>
    <t>Eddie Bauer Men's Crewneck Sweatshirt Atlantic / M</t>
  </si>
  <si>
    <t>S198374128120</t>
  </si>
  <si>
    <t>Eddie Bauer Men's Crewneck Sweatshirt Atlantic / S</t>
  </si>
  <si>
    <t>S198374128113</t>
  </si>
  <si>
    <t>Eddie Bauer Men's Crewneck Sweatshirt Black / L</t>
  </si>
  <si>
    <t>S198374128182</t>
  </si>
  <si>
    <t>https://cdn.shopify.com/s/files/1/0471/0885/files/EddieBauerMen_sCrewneckSweatshirt_Black-1.jpg?v=1724872712</t>
  </si>
  <si>
    <t>Eddie Bauer Men's Crewneck Sweatshirt Black / M</t>
  </si>
  <si>
    <t>S198374128175</t>
  </si>
  <si>
    <t>Eddie Bauer Men's Crewneck Sweatshirt Black / S</t>
  </si>
  <si>
    <t>S198374128168</t>
  </si>
  <si>
    <t>Eddie Bauer Men's Crewneck Sweatshirt Charcoal Heather / M</t>
  </si>
  <si>
    <t>S198374128229</t>
  </si>
  <si>
    <t>https://cdn.shopify.com/s/files/1/0471/0885/files/EddieBauerMen_sCrewneckSweatshirt_Charcoal-1.jpg?v=1724872713</t>
  </si>
  <si>
    <t>Eddie Bauer Men's Crewneck Sweatshirt Charcoal Heather / S</t>
  </si>
  <si>
    <t>S198374128212</t>
  </si>
  <si>
    <t>Eddie Bauer Men's Crewneck Sweatshirt Oatmeal Heather / M</t>
  </si>
  <si>
    <t>S198374128274</t>
  </si>
  <si>
    <t>https://cdn.shopify.com/s/files/1/0471/0885/files/EddieBauerMen_sCrewneckSweatshirt_Oatmeal-1.jpg?v=1724872713</t>
  </si>
  <si>
    <t>Oatmeal Heather</t>
  </si>
  <si>
    <t>Eddie Bauer Men's Crewneck Sweatshirt Oatmeal Heather / S</t>
  </si>
  <si>
    <t>S198374128267</t>
  </si>
  <si>
    <t>Eddie Bauer Men's Faux Shearling Lined Fleece Hoodie Ash Blue / L</t>
  </si>
  <si>
    <t>S198374125082</t>
  </si>
  <si>
    <t>https://cdn.shopify.com/s/files/1/0471/0885/files/EddieBauerMen_sFauxShearlingLinedFleeceHoodie_AshBlue-1.jpg?v=1724864076</t>
  </si>
  <si>
    <t>Ash Blue</t>
  </si>
  <si>
    <t>EM34LK389</t>
  </si>
  <si>
    <t>Eddie Bauer Men's Faux Shearling Lined Fleece Hoodie Ash Blue / M</t>
  </si>
  <si>
    <t>S198374125075</t>
  </si>
  <si>
    <t>Eddie Bauer Men's Faux Shearling Lined Fleece Hoodie Ash Blue / S</t>
  </si>
  <si>
    <t>S198374125068</t>
  </si>
  <si>
    <t>Eddie Bauer Men's Faux Shearling Lined Fleece Hoodie Ash Blue / XL</t>
  </si>
  <si>
    <t>S198374125099</t>
  </si>
  <si>
    <t>Eddie Bauer Men's Faux Shearling Lined Fleece Hoodie Black / L</t>
  </si>
  <si>
    <t>S198374123064</t>
  </si>
  <si>
    <t>https://cdn.shopify.com/s/files/1/0471/0885/files/EddieBauerMen_sFauxShearlingLinedFleeceHoodie_Black-1.jpg?v=1724864075</t>
  </si>
  <si>
    <t>Eddie Bauer Men's Faux Shearling Lined Fleece Hoodie Black / M</t>
  </si>
  <si>
    <t>S198374123057</t>
  </si>
  <si>
    <t>Eddie Bauer Men's Faux Shearling Lined Fleece Hoodie Black / S</t>
  </si>
  <si>
    <t>S198374123040</t>
  </si>
  <si>
    <t>Eddie Bauer Men's Faux Shearling Lined Fleece Hoodie Black / XL</t>
  </si>
  <si>
    <t>S198374123071</t>
  </si>
  <si>
    <t>Eddie Bauer Men's Faux Shearling Lined Fleece Hoodie Grey / L</t>
  </si>
  <si>
    <t>S198374125136</t>
  </si>
  <si>
    <t>https://cdn.shopify.com/s/files/1/0471/0885/files/EddieBauerMen_sFauxShearlingLinedFleeceHoodie_Grey-1.jpg?v=1724864075</t>
  </si>
  <si>
    <t>Eddie Bauer Men's Faux Shearling Lined Fleece Hoodie Grey / M</t>
  </si>
  <si>
    <t>S198374125129</t>
  </si>
  <si>
    <t>Eddie Bauer Men's Faux Shearling Lined Fleece Hoodie Grey / XL</t>
  </si>
  <si>
    <t>S198374125143</t>
  </si>
  <si>
    <t>Eddie Bauer Men's Faux Shearling Lined Fleece Hoodie Oatmeal Heather / L</t>
  </si>
  <si>
    <t>S198374125181</t>
  </si>
  <si>
    <t>https://cdn.shopify.com/s/files/1/0471/0885/files/EddieBauerMen_sFauxShearlingLinedFleeceHoodie_Oatmeal-1.jpg?v=1724864076</t>
  </si>
  <si>
    <t>Eddie Bauer Men's Faux Shearling Lined Fleece Hoodie Oatmeal Heather / M</t>
  </si>
  <si>
    <t>S198374125174</t>
  </si>
  <si>
    <t>Eddie Bauer Men's Faux Shearling Lined Fleece Hoodie Oatmeal Heather / S</t>
  </si>
  <si>
    <t>S198374125167</t>
  </si>
  <si>
    <t>Eddie Bauer Men's Faux Shearling Lined Fleece Joggers Atlantic / L</t>
  </si>
  <si>
    <t>S198374120353</t>
  </si>
  <si>
    <t>https://cdn.shopify.com/s/files/1/0471/0885/files/EddieBauerMen_sFauxShearlingLinedFleeceJoggers_Atlantic-3.jpg?v=1724783486</t>
  </si>
  <si>
    <t>EM34KB005</t>
  </si>
  <si>
    <t>Eddie Bauer Men's Faux Shearling Lined Fleece Joggers Atlantic / M</t>
  </si>
  <si>
    <t>S198374120346</t>
  </si>
  <si>
    <t>Eddie Bauer Men's Faux Shearling Lined Fleece Joggers Atlantic / S</t>
  </si>
  <si>
    <t>S198374120339</t>
  </si>
  <si>
    <t>Eddie Bauer Men's Faux Shearling Lined Fleece Joggers Black / L</t>
  </si>
  <si>
    <t>S198374120407</t>
  </si>
  <si>
    <t>https://cdn.shopify.com/s/files/1/0471/0885/files/EddieBauerMen_sFauxShearlingLinedFleeceJoggers_Black-3.jpg?v=1724783486</t>
  </si>
  <si>
    <t>Eddie Bauer Men's Faux Shearling Lined Fleece Joggers Black / M</t>
  </si>
  <si>
    <t>S198374120391</t>
  </si>
  <si>
    <t>Eddie Bauer Men's Faux Shearling Lined Fleece Joggers Black / S</t>
  </si>
  <si>
    <t>S198374120384</t>
  </si>
  <si>
    <t>Eddie Bauer Men's Faux Shearling Lined Fleece Joggers Charcoal Heather / L</t>
  </si>
  <si>
    <t>S198374120452</t>
  </si>
  <si>
    <t>https://cdn.shopify.com/s/files/1/0471/0885/files/EddieBauerMen_sFauxShearlingLinedFleeceJoggers_Charcoal-3.jpg?v=1724783487</t>
  </si>
  <si>
    <t>Eddie Bauer Men's Faux Shearling Lined Fleece Joggers Charcoal Heather / M</t>
  </si>
  <si>
    <t>S198374120445</t>
  </si>
  <si>
    <t>Eddie Bauer Men's Faux Shearling Lined Fleece Joggers Charcoal Heather / S</t>
  </si>
  <si>
    <t>S198374120438</t>
  </si>
  <si>
    <t>Eddie Bauer Men's Faux Shearling Lined Fleece Joggers Charcoal Heather / XL</t>
  </si>
  <si>
    <t>S198374120469</t>
  </si>
  <si>
    <t>Eddie Bauer Men's Faux Shearling Lined Fleece Joggers Dark Loden / L</t>
  </si>
  <si>
    <t>S198374120506</t>
  </si>
  <si>
    <t>https://cdn.shopify.com/s/files/1/0471/0885/files/EddieBauerMen_sFauxShearlingLinedFleeceJoggers_Loden-3.jpg?v=1724783487</t>
  </si>
  <si>
    <t>Dark Loden</t>
  </si>
  <si>
    <t>Eddie Bauer Men's Faux Shearling Lined Fleece Joggers Dark Loden / M</t>
  </si>
  <si>
    <t>S198374120490</t>
  </si>
  <si>
    <t>Eddie Bauer Men's Faux Shearling Lined Fleece Joggers Dark Loden / S</t>
  </si>
  <si>
    <t>S198374120483</t>
  </si>
  <si>
    <t>Eddie Bauer Men's Faux Shearling Lined Fleece Joggers Dark Loden / XL</t>
  </si>
  <si>
    <t>S198374120513</t>
  </si>
  <si>
    <t>Eddie Bauer Men's Faux Shearling Lined Fleece Joggers Grey Heather / L</t>
  </si>
  <si>
    <t>S198374120551</t>
  </si>
  <si>
    <t>https://cdn.shopify.com/s/files/1/0471/0885/files/EddieBauerMen_sFauxShearlingLinedFleeceJoggers_Grey-3.jpg?v=1724783486</t>
  </si>
  <si>
    <t>Eddie Bauer Men's Faux Shearling Lined Fleece Joggers Grey Heather / M</t>
  </si>
  <si>
    <t>S198374120544</t>
  </si>
  <si>
    <t>Eddie Bauer Men's Faux Shearling Lined Fleece Joggers Grey Heather / S</t>
  </si>
  <si>
    <t>S198374120537</t>
  </si>
  <si>
    <t>Eddie Bauer Men's Faux Shearling Lined Fleece Joggers Grey Heather / XL</t>
  </si>
  <si>
    <t>S198374120568</t>
  </si>
  <si>
    <t>Eddie Bauer Men's Sustainable Hoodie Black / M</t>
  </si>
  <si>
    <t>S198374137672</t>
  </si>
  <si>
    <t>https://cdn.shopify.com/s/files/1/0471/0885/files/EddieBauerMen_sSustainableHoodie_Black-1.jpg?v=1724876302</t>
  </si>
  <si>
    <t>EM14LK017</t>
  </si>
  <si>
    <t>Eddie Bauer Men's Sustainable Hoodie Black / S</t>
  </si>
  <si>
    <t>S198374137665</t>
  </si>
  <si>
    <t>Eddie Bauer Men's Sustainable Hoodie Grey Heather / M</t>
  </si>
  <si>
    <t>S198374137719</t>
  </si>
  <si>
    <t>https://cdn.shopify.com/s/files/1/0471/0885/files/EddieBauerMen_sSustainableHoodie_Grey-1.jpg?v=1724876302</t>
  </si>
  <si>
    <t>Eddie Bauer Men's Sustainable Hoodie Grey Heather / S</t>
  </si>
  <si>
    <t>S198374137702</t>
  </si>
  <si>
    <t>Eddie Bauer Men's Sustainable Hoodie Pacific Blue / M</t>
  </si>
  <si>
    <t>S198374137757</t>
  </si>
  <si>
    <t>https://cdn.shopify.com/s/files/1/0471/0885/files/EddieBauerMen_sSustainableHoodie_Pacific-1.jpg?v=1724876302</t>
  </si>
  <si>
    <t>Pacific Blue</t>
  </si>
  <si>
    <t>Eddie Bauer Men's Sustainable Hoodie Pacific Blue / S</t>
  </si>
  <si>
    <t>S198374137740</t>
  </si>
  <si>
    <t>Eddie Bauer Women's Charlotte Pullover Hoodie Black / L</t>
  </si>
  <si>
    <t>S198374119753</t>
  </si>
  <si>
    <t>https://cdn.shopify.com/s/files/1/0471/0885/files/EddieBauerWomen_sCharlottePulloverHoodie_Black-1.jpg?v=1724957082</t>
  </si>
  <si>
    <t>EL33LK819</t>
  </si>
  <si>
    <t>Eddie Bauer Women's Charlotte Pullover Hoodie Black / M</t>
  </si>
  <si>
    <t>S198374119746</t>
  </si>
  <si>
    <t>Eddie Bauer Women's Charlotte Pullover Hoodie Black / S</t>
  </si>
  <si>
    <t>S198374119739</t>
  </si>
  <si>
    <t>Eddie Bauer Women's Charlotte Pullover Hoodie Black / XL</t>
  </si>
  <si>
    <t>S198374119760</t>
  </si>
  <si>
    <t>Eddie Bauer Women's Charlotte Pullover Hoodie Oatmeal Heather / XL</t>
  </si>
  <si>
    <t>S198374124993</t>
  </si>
  <si>
    <t>Eddie Bauer Women's Matterhorn Jacket Blue / M</t>
  </si>
  <si>
    <t>S731990240632</t>
  </si>
  <si>
    <t>https://cdn.shopify.com/s/files/1/0471/0885/files/840144331918-2.jpg?v=1692130412</t>
  </si>
  <si>
    <t>EBJ-E0503W</t>
  </si>
  <si>
    <t>Eddie Bauer Women's Matterhorn Jacket Blue / XL</t>
  </si>
  <si>
    <t>S731990240625</t>
  </si>
  <si>
    <t>Eddie Bauer Women's Raglan Sweatshirt Black / M</t>
  </si>
  <si>
    <t>S198374119647</t>
  </si>
  <si>
    <t>https://cdn.shopify.com/s/files/1/0471/0885/files/EddieBauerWomen_sRaglanSweatshirt_Black-1.jpg?v=1724942623</t>
  </si>
  <si>
    <t>EL33LK818</t>
  </si>
  <si>
    <t>Eddie Bauer Women's Raglan Sweatshirt Black / S</t>
  </si>
  <si>
    <t>S198374119630</t>
  </si>
  <si>
    <t>Eddie Bauer Women's Terry Cuffed Joggers Charcoal Heather / S</t>
  </si>
  <si>
    <t>S198374119982</t>
  </si>
  <si>
    <t>https://cdn.shopify.com/s/files/1/0471/0885/files/EddieBauerWomen_sTerryCuffedJoggersGrey-1.jpg?v=1724959442</t>
  </si>
  <si>
    <t>EL34KB946</t>
  </si>
  <si>
    <t>Eddie Bauer Men's Classic Flannel Pant Cream/Black Multi Plaid / L</t>
  </si>
  <si>
    <t>S197256354879</t>
  </si>
  <si>
    <t>https://cdn.shopify.com/s/files/1/0471/0885/files/197256354862-1.jpg?v=1721776486</t>
  </si>
  <si>
    <t>Cream/Black Multi Plaid</t>
  </si>
  <si>
    <t>EM33WB021D</t>
  </si>
  <si>
    <t>Pants</t>
  </si>
  <si>
    <t>Eddie Bauer Men's Classic Flannel Pant Cream/Black Multi Plaid / M</t>
  </si>
  <si>
    <t>S197256354862</t>
  </si>
  <si>
    <t>Eddie Bauer Men's Classic Flannel Pant Cream/Black Multi Plaid / XL</t>
  </si>
  <si>
    <t>S197256354886</t>
  </si>
  <si>
    <t>Eddie Bauer Men's Classic Flannel Pant Red/Navy Multi Plaid / L</t>
  </si>
  <si>
    <t>S197256354824</t>
  </si>
  <si>
    <t>https://cdn.shopify.com/s/files/1/0471/0885/files/197256354817-1.jpg?v=1721776480</t>
  </si>
  <si>
    <t>Red/Navy Multi Plaid</t>
  </si>
  <si>
    <t>Eddie Bauer Men's Classic Flannel Pant Red/Navy Multi Plaid / M</t>
  </si>
  <si>
    <t>S197256354817</t>
  </si>
  <si>
    <t>Eddie Bauer Men's Classic Flannel Pant Red/Navy Multi Plaid / S</t>
  </si>
  <si>
    <t>S197256354800</t>
  </si>
  <si>
    <t>Eddie Bauer Men's Classic Flannel Pant Red/Navy Multi Plaid / XL</t>
  </si>
  <si>
    <t>S197256354831</t>
  </si>
  <si>
    <t>Eddie Bauer Men's Classic Jersey Pant Black Heather / L</t>
  </si>
  <si>
    <t>S197256353520</t>
  </si>
  <si>
    <t>https://cdn.shopify.com/s/files/1/0471/0885/files/197256353513-3.jpg?v=1721776464</t>
  </si>
  <si>
    <t>Black Heather</t>
  </si>
  <si>
    <t>EM33KB040D</t>
  </si>
  <si>
    <t>Eddie Bauer Men's Classic Microfleece Pants Red Plaid / L</t>
  </si>
  <si>
    <t>S197256353421</t>
  </si>
  <si>
    <t>https://cdn.shopify.com/s/files/1/0471/0885/files/1972563534141.jpg?v=1721776504</t>
  </si>
  <si>
    <t>Red Plaid</t>
  </si>
  <si>
    <t>EM33KB022D</t>
  </si>
  <si>
    <t>Eddie Bauer Men's Classic Microfleece Pants Red Plaid / M</t>
  </si>
  <si>
    <t>S197256353414</t>
  </si>
  <si>
    <t>Eddie Bauer Men's Classic Microfleece Pants Red Plaid / S</t>
  </si>
  <si>
    <t>S197256353407</t>
  </si>
  <si>
    <t>Eddie Bauer Men's Classic Microfleece Pants Red Plaid / XL</t>
  </si>
  <si>
    <t>S197256353438</t>
  </si>
  <si>
    <t>Eddie Bauer Men's Crew Neck Fleece Sweatshirt Light Heather Grey / S</t>
  </si>
  <si>
    <t>S196615620099</t>
  </si>
  <si>
    <t>https://cdn.shopify.com/s/files/1/0471/0885/files/Eddie-Bauer-Men_s-Crew-Neck-Fleece-Sweatshirt_-1267518.webp?v=1712937815</t>
  </si>
  <si>
    <t>EM32LK407D</t>
  </si>
  <si>
    <t>Eddie Bauer Women's 2 Pack Ultra Soft Leggings Heather Grey / Black / M</t>
  </si>
  <si>
    <t>S198374119890</t>
  </si>
  <si>
    <t>https://cdn.shopify.com/s/files/1/0471/0885/files/EddieBauerWomen_s2PackUltraSoftLeggings_2Pack.jpg?v=1724958668</t>
  </si>
  <si>
    <t>Heather Grey / Black</t>
  </si>
  <si>
    <t>EL33ST798</t>
  </si>
  <si>
    <t>Eddie Bauer Women's 2 Pack Ultra Soft Leggings Heather Grey / Black / S</t>
  </si>
  <si>
    <t>S198374119883</t>
  </si>
  <si>
    <t>Eddie Bauer Women's 2 Pack Ultra Soft Leggings Heather Grey / Black / XL</t>
  </si>
  <si>
    <t>S198374119913</t>
  </si>
  <si>
    <t>Eddie Bauer Women's 2 Piece Long Sleeve Ribbed Sleepwear Set Black / L</t>
  </si>
  <si>
    <t>S198374120056</t>
  </si>
  <si>
    <t>https://cdn.shopify.com/s/files/1/0471/0885/files/EddieBauerWomen_s2PieceLongSleeveRibbedSleepwearSet_Black-4.jpg?v=1724941413</t>
  </si>
  <si>
    <t>EL34ST937</t>
  </si>
  <si>
    <t>Eddie Bauer Women's 2 Piece Long Sleeve Ribbed Sleepwear Set Black / M</t>
  </si>
  <si>
    <t>S198374120049</t>
  </si>
  <si>
    <t>Eddie Bauer Women's 2 Piece Long Sleeve Ribbed Sleepwear Set Black / S</t>
  </si>
  <si>
    <t>S198374120032</t>
  </si>
  <si>
    <t>Eddie Bauer Women's 2 Piece Long Sleeve Ribbed Sleepwear Set Charcoal Heather / L</t>
  </si>
  <si>
    <t>S198374120100</t>
  </si>
  <si>
    <t>Eddie Bauer Men's 1/4 Zip Black / S</t>
  </si>
  <si>
    <t>S197256361426</t>
  </si>
  <si>
    <t>https://cdn.shopify.com/s/files/1/0471/0885/files/197256361433-3.jpg?v=1721776717</t>
  </si>
  <si>
    <t>EM32LK662D    </t>
  </si>
  <si>
    <t>Eddie Bauer Men's 1/4 Zip Heather Charcoal / S</t>
  </si>
  <si>
    <t>S196615620136</t>
  </si>
  <si>
    <t>https://cdn.shopify.com/s/files/1/0471/0885/files/196615620143-2.jpg?v=1721776720</t>
  </si>
  <si>
    <t>Heather Charcoal</t>
  </si>
  <si>
    <t>Eddie Bauer Men's 1/4 Zip Ocean Blue / S</t>
  </si>
  <si>
    <t>S196615620174</t>
  </si>
  <si>
    <t>https://cdn.shopify.com/s/files/1/0471/0885/files/196615620181-2.jpg?v=1721776711</t>
  </si>
  <si>
    <t>Ocean Blue</t>
  </si>
  <si>
    <t>Hurley Women's Outdoor Shell Jacket Sleet / L</t>
  </si>
  <si>
    <t>S195900374273</t>
  </si>
  <si>
    <t>https://cdn.shopify.com/s/files/1/0471/0885/files/195900374259-1.jpg?v=1736283312</t>
  </si>
  <si>
    <t>Hurley</t>
  </si>
  <si>
    <t>Sleet</t>
  </si>
  <si>
    <t>HA32OW002</t>
  </si>
  <si>
    <t>Hurley Women's Outdoor Shell Jacket Sleet / M</t>
  </si>
  <si>
    <t>S195900374266</t>
  </si>
  <si>
    <t>IZOD Men's Advanced Perforated Stripe Polo Bright White / L</t>
  </si>
  <si>
    <t>S197206139808</t>
  </si>
  <si>
    <t>https://cdn.shopify.com/s/files/1/0471/0885/files/197206139815-1.jpg?v=1713996835</t>
  </si>
  <si>
    <t>IZOD</t>
  </si>
  <si>
    <t>Bright White</t>
  </si>
  <si>
    <t>46IZSHB29R-102</t>
  </si>
  <si>
    <t>Polos</t>
  </si>
  <si>
    <t>IZOD Men's Advanced Perforated Stripe Polo Bright White / XL</t>
  </si>
  <si>
    <t>S197206139839</t>
  </si>
  <si>
    <t>IZOD Men's Advanced Performance Soft Touch Hybrid Shorts Cedarwood Khaki / 32</t>
  </si>
  <si>
    <t>S196407250220</t>
  </si>
  <si>
    <t>https://cdn.shopify.com/s/files/1/0471/0885/files/196407250220-1.jpg?v=1713996725</t>
  </si>
  <si>
    <t>Cedarwood Khaki</t>
  </si>
  <si>
    <t>4645P5243A-MX12D</t>
  </si>
  <si>
    <t>IZOD Men's Popcorn Jacquard Long Sleeve 1/4 Zip Bright Cobalt / M</t>
  </si>
  <si>
    <t>S197206879766</t>
  </si>
  <si>
    <t>https://cdn.shopify.com/s/files/1/0471/0885/files/IZODMen_sPopcornJacquardLongSleeve1_4Zip_BrightCobalt-1.jpg?v=1728331922</t>
  </si>
  <si>
    <t>Bright Cobalt</t>
  </si>
  <si>
    <t>46IZFHBH9R-420PZ6</t>
  </si>
  <si>
    <t>IZOD Men's Popcorn Jacquard Long Sleeve 1/4 Zip Bright Cobalt / S</t>
  </si>
  <si>
    <t>S197206879773</t>
  </si>
  <si>
    <t>IZOD Men's Popcorn Jacquard Long Sleeve 1/4 Zip Medieval Blue / L</t>
  </si>
  <si>
    <t>S197206879650</t>
  </si>
  <si>
    <t>https://cdn.shopify.com/s/files/1/0471/0885/files/IZODMen_sPopcornJacquardLongSleeve1_4Zip_MedievalBlue-1.jpg?v=1728331922</t>
  </si>
  <si>
    <t>Medieval Blue</t>
  </si>
  <si>
    <t>46IZFHBH9R-405PZ6</t>
  </si>
  <si>
    <t>IZOD Men's Popcorn Jacquard Long Sleeve 1/4 Zip Medieval Blue / M</t>
  </si>
  <si>
    <t>S197206879667</t>
  </si>
  <si>
    <t>IZOD Men's Popcorn Jacquard Long Sleeve 1/4 Zip Medieval Blue / S</t>
  </si>
  <si>
    <t>S197206879674</t>
  </si>
  <si>
    <t>IZOD Men's Popcorn Jacquard Long Sleeve 1/4 Zip Smoked Pearl / L</t>
  </si>
  <si>
    <t>S197206879254</t>
  </si>
  <si>
    <t>https://cdn.shopify.com/s/files/1/0471/0885/files/IZODMen_sPopcornJacquardLongSleeve1_4Zip_SmokedPearl-1.jpg?v=1728331922</t>
  </si>
  <si>
    <t>Smoked Pearl</t>
  </si>
  <si>
    <t>46IZFHBH9R-032PZ6</t>
  </si>
  <si>
    <t>IZOD Men's Popcorn Jacquard Long Sleeve 1/4 Zip Smoked Pearl / M</t>
  </si>
  <si>
    <t>S197206879261</t>
  </si>
  <si>
    <t>IZOD Men's Popcorn Jacquard Long Sleeve 1/4 Zip Smoked Pearl / S</t>
  </si>
  <si>
    <t>S197206879278</t>
  </si>
  <si>
    <t>IZOD Men's Colorblock Puffer Vest Poseidon / S</t>
  </si>
  <si>
    <t>S196407930344</t>
  </si>
  <si>
    <t>https://cdn.shopify.com/s/files/1/0471/0885/files/196407930337-1.jpg?v=1706717069</t>
  </si>
  <si>
    <t>Poseidon</t>
  </si>
  <si>
    <t>46IZFGM05R-422</t>
  </si>
  <si>
    <t>IZOD Men's Full Zip Puffer Vest Black / 2XL</t>
  </si>
  <si>
    <t>S767890807866</t>
  </si>
  <si>
    <t>https://cdn.shopify.com/s/files/1/0471/0885/files/IZODMen_sFullZipPufferVest_Black-1.jpg?v=1724777104</t>
  </si>
  <si>
    <t>IZ2405</t>
  </si>
  <si>
    <t>IZOD Men's Full Zip Puffer Vest Black / L</t>
  </si>
  <si>
    <t>S767890807842</t>
  </si>
  <si>
    <t>IZOD Men's Full Zip Puffer Vest Black / M</t>
  </si>
  <si>
    <t>S767890807835</t>
  </si>
  <si>
    <t>IZOD Men's Full Zip Puffer Vest Black / XL</t>
  </si>
  <si>
    <t>S767890807859</t>
  </si>
  <si>
    <t>IZOD Men's Full Zip Puffer Vest Iron Gate / 2XL</t>
  </si>
  <si>
    <t>S767890807910</t>
  </si>
  <si>
    <t>https://cdn.shopify.com/s/files/1/0471/0885/files/IZODMen_sFullZipPufferVest_Iron-Gate-1.jpg?v=1724777104</t>
  </si>
  <si>
    <t>Iron Gate</t>
  </si>
  <si>
    <t>IZOD Men's Full Zip Puffer Vest Iron Gate / L</t>
  </si>
  <si>
    <t>S767890807897</t>
  </si>
  <si>
    <t>IZOD Men's Full Zip Puffer Vest Iron Gate / M</t>
  </si>
  <si>
    <t>S767890807880</t>
  </si>
  <si>
    <t>IZOD Men's Full Zip Puffer Vest Iron Gate / XL</t>
  </si>
  <si>
    <t>S767890807903</t>
  </si>
  <si>
    <t>IZOD Men's Lux Sport Quilt Vest Black / L</t>
  </si>
  <si>
    <t>S196407944662</t>
  </si>
  <si>
    <t>46IZFGB90R-001</t>
  </si>
  <si>
    <t>IZOD Men's Packable Puffer Jacket Black / L</t>
  </si>
  <si>
    <t>S767890808047</t>
  </si>
  <si>
    <t>https://cdn.shopify.com/s/files/1/0471/0885/files/IZODMen_sPackablePufferJacket_Black-1.jpg?v=1724772845</t>
  </si>
  <si>
    <t>IZ293X</t>
  </si>
  <si>
    <t>IZOD Men's Packable Puffer Jacket Iron Gate / M</t>
  </si>
  <si>
    <t>S767890808085</t>
  </si>
  <si>
    <t>IZOD Men's Softshell Vest Black / 2XL</t>
  </si>
  <si>
    <t>S767890807712</t>
  </si>
  <si>
    <t>https://cdn.shopify.com/s/files/1/0471/0885/files/IZODMen_sSoftshellVest_Black-1.jpg?v=1724776209</t>
  </si>
  <si>
    <t>IZ250X</t>
  </si>
  <si>
    <t>IZOD Men's Softshell Vest Black / L</t>
  </si>
  <si>
    <t>S767890807699</t>
  </si>
  <si>
    <t>IZOD Men's Softshell Vest Black / M</t>
  </si>
  <si>
    <t>S767890807682</t>
  </si>
  <si>
    <t>IZOD Men's Softshell Vest Black / XL</t>
  </si>
  <si>
    <t>S767890807705</t>
  </si>
  <si>
    <t>IZOD Men's Softshell Vest Iron Gate / 2XL</t>
  </si>
  <si>
    <t>S767890807767</t>
  </si>
  <si>
    <t>https://cdn.shopify.com/s/files/1/0471/0885/files/IZODMen_sSoftshellVest_Iron-Gate-1.jpg?v=1724776209</t>
  </si>
  <si>
    <t>IZOD Men's Softshell Vest Iron Gate / L</t>
  </si>
  <si>
    <t>S767890807743</t>
  </si>
  <si>
    <t>IZOD Men's Softshell Vest Iron Gate / M</t>
  </si>
  <si>
    <t>S767890807736</t>
  </si>
  <si>
    <t>IZOD Men's Softshell Vest Iron Gate / XL</t>
  </si>
  <si>
    <t>S767890807750</t>
  </si>
  <si>
    <t>IZOD Men's Softshell Vest Navy Blazer / M</t>
  </si>
  <si>
    <t>S767890807781</t>
  </si>
  <si>
    <t>https://cdn.shopify.com/s/files/1/0471/0885/files/IZODMen_sSoftshellVest_Navy-Blazer-1.jpg?v=1724776209</t>
  </si>
  <si>
    <t>Navy Blazer</t>
  </si>
  <si>
    <t>IZOD Men's Softshell Vest Navy Blazer / XL</t>
  </si>
  <si>
    <t>S767890807804</t>
  </si>
  <si>
    <t>Joe Marlin Men's Bomba Shade Swim Trunks Tidal Blue / 2XL</t>
  </si>
  <si>
    <t>S888241180633</t>
  </si>
  <si>
    <t>https://cdn.shopify.com/s/files/1/0471/0885/files/888241180619_Joe-Marlin-Men_s-Bomba-Shade-Swim-Trunks-Tidal-Blue.jpg?v=1721776988</t>
  </si>
  <si>
    <t>Joe Marlin</t>
  </si>
  <si>
    <t>Tidal Blue</t>
  </si>
  <si>
    <t>JMVS-B0161</t>
  </si>
  <si>
    <t>Swimsuits</t>
  </si>
  <si>
    <t>Joe Marlin Men's Bomba Shade Swim Trunks Tidal Blue / L</t>
  </si>
  <si>
    <t>S888241180619</t>
  </si>
  <si>
    <t>Joe Marlin Men's Bomba Shade Swim Trunks Tidal Blue / XL</t>
  </si>
  <si>
    <t>S888241180626</t>
  </si>
  <si>
    <t>London Fog Men's Long Sleeve Henley Smoke Grey / 2XL</t>
  </si>
  <si>
    <t>S773389379691</t>
  </si>
  <si>
    <t>https://cdn.shopify.com/s/files/1/0471/0885/files/773389379660-1.jpg?v=1710775887</t>
  </si>
  <si>
    <t>London Fog</t>
  </si>
  <si>
    <t>Smoke Grey</t>
  </si>
  <si>
    <t>24L7T3380-93</t>
  </si>
  <si>
    <t>London Fog Men's Long Sleeve Henley Smoke Grey / L</t>
  </si>
  <si>
    <t>S773389379677</t>
  </si>
  <si>
    <t>London Fog Men's Long Sleeve Henley Smoke Grey / M</t>
  </si>
  <si>
    <t>S773389379660</t>
  </si>
  <si>
    <t>London Fog Men's Long Sleeve Henley Smoke Grey / XL</t>
  </si>
  <si>
    <t>S773389379684</t>
  </si>
  <si>
    <t>London Fog Men's Broken Stripe Polo Black / M</t>
  </si>
  <si>
    <t>S773389395752</t>
  </si>
  <si>
    <t>https://cdn.shopify.com/s/files/1/0471/0885/files/773389395752-1.jpg?v=1710302182</t>
  </si>
  <si>
    <t>24L7T3475-93</t>
  </si>
  <si>
    <t>London Fog Men's Broken Stripe Polo Black / S</t>
  </si>
  <si>
    <t>S773389395745</t>
  </si>
  <si>
    <t>London Fog Men's Modal Stripe Polo Rose / L</t>
  </si>
  <si>
    <t>S773389424056</t>
  </si>
  <si>
    <t>Rose</t>
  </si>
  <si>
    <t>24L7T3508</t>
  </si>
  <si>
    <t>London Fog Men's Modal Stripe Polo Rose / S</t>
  </si>
  <si>
    <t>S773389424032</t>
  </si>
  <si>
    <t>https://cdn.shopify.com/s/files/1/0471/0885/files/LondonFogMen_sModalStripePolo_Rose-1.jpg?v=1727381834</t>
  </si>
  <si>
    <t>London Fog Men's Poly Textured Space Dye Polo Azure / S</t>
  </si>
  <si>
    <t>S773389394441</t>
  </si>
  <si>
    <t>https://cdn.shopify.com/s/files/1/0471/0885/files/773389394106-1.jpg?v=1712931324</t>
  </si>
  <si>
    <t>Azure</t>
  </si>
  <si>
    <t>24L7T3341-93A</t>
  </si>
  <si>
    <t>London Fog Men's Poly Textured Space Dye Polo Coral / M</t>
  </si>
  <si>
    <t>S773389405604</t>
  </si>
  <si>
    <t>https://cdn.shopify.com/s/files/1/0471/0885/files/773389405604-1.jpg?v=1714764720</t>
  </si>
  <si>
    <t>Coral</t>
  </si>
  <si>
    <t>London Fog Men's Poly Textured Space Dye Polo Coral / S</t>
  </si>
  <si>
    <t>S773389405598</t>
  </si>
  <si>
    <t>London Fog Men's Poly Textured Space Dye Polo Ultimate Grey / M</t>
  </si>
  <si>
    <t>S773389394229</t>
  </si>
  <si>
    <t>https://cdn.shopify.com/s/files/1/0471/0885/files/773389394489-1.jpg?v=1712931324</t>
  </si>
  <si>
    <t>Ultimate Grey</t>
  </si>
  <si>
    <t>London Fog Men's Poly Textured Space Dye Polo Ultimate Grey / S</t>
  </si>
  <si>
    <t>S773389394489</t>
  </si>
  <si>
    <t>Mountain and Isles Men's 2-Pocket Brushed Cotton Button Down Flannel Shirt Slate/Spice Plaid / M</t>
  </si>
  <si>
    <t>S191798104848</t>
  </si>
  <si>
    <t>https://cdn.shopify.com/s/files/1/0471/0885/files/191798104848-1.jpg?v=1704223949</t>
  </si>
  <si>
    <t>Mountain and Isles</t>
  </si>
  <si>
    <t>Slate/Spice Plaid</t>
  </si>
  <si>
    <t>MM43282GA</t>
  </si>
  <si>
    <t>Mountain and Isles Men's 2-Pocket Brushed Cotton Button Down Flannel Shirt Slate/Spice Plaid / S</t>
  </si>
  <si>
    <t>S191798104831</t>
  </si>
  <si>
    <t>Mountain and Isles Men's 2-Pocket Button Down Shirt Midnight Navy Ocean Waves / M</t>
  </si>
  <si>
    <t>S191798113147</t>
  </si>
  <si>
    <t>https://cdn.shopify.com/s/files/1/0471/0885/files/MM42161-4MNOW-MI_1.jpg?v=1712848657</t>
  </si>
  <si>
    <t>Midnight Navy Ocean Waves</t>
  </si>
  <si>
    <t>MM42161-4MNOW-MI</t>
  </si>
  <si>
    <t>Mountain and Isles Men's 2-Pocket Button Down Shirt Midnight Navy Ocean Waves / S</t>
  </si>
  <si>
    <t>S191798113130</t>
  </si>
  <si>
    <t>Mountain and Isles Men's Hybrid 8 Shorts Marble / 34</t>
  </si>
  <si>
    <t>S191798113703</t>
  </si>
  <si>
    <t>https://cdn.shopify.com/s/files/1/0471/0885/files/MM64020-4MNVY-MI_Marble-1.jpg?v=1712849486</t>
  </si>
  <si>
    <t>Marble</t>
  </si>
  <si>
    <t>MM64020-1MARB-MA</t>
  </si>
  <si>
    <t>Mountain and Isles Men's Hybrid 8 Shorts Marble / 36</t>
  </si>
  <si>
    <t>S191798113710</t>
  </si>
  <si>
    <t>Mountain and Isles Men's Hybrid 8 Shorts Marble / 38</t>
  </si>
  <si>
    <t>S191798113727</t>
  </si>
  <si>
    <t>Mountain and Isles Men's Hybrid 8 Shorts Marble / 40</t>
  </si>
  <si>
    <t>S191798113734</t>
  </si>
  <si>
    <t>Mountain and Isles Men's Hybrid 8 Shorts Midnight Navy / 34</t>
  </si>
  <si>
    <t>S191798113802</t>
  </si>
  <si>
    <t>https://cdn.shopify.com/s/files/1/0471/0885/files/MM64020-4MNVY-MI_Navy-1.jpg?v=1712849486</t>
  </si>
  <si>
    <t>Midnight Navy</t>
  </si>
  <si>
    <t>MM64020-4MNVY-MI</t>
  </si>
  <si>
    <t>Mountain and Isles Men's Hybrid 8 Shorts Midnight Navy / 36</t>
  </si>
  <si>
    <t>S191798113819</t>
  </si>
  <si>
    <t>Mountain and Isles Men's Hybrid 8 Shorts Midnight Navy / 38</t>
  </si>
  <si>
    <t>S191798113826</t>
  </si>
  <si>
    <t>Mountain and Isles Men's Hybrid 8 Shorts Midnight Navy / 40</t>
  </si>
  <si>
    <t>S191798113833</t>
  </si>
  <si>
    <t>Mountain and Isles Men's Synthetic 1-Pocket Button Up Shirt Stone Desert Journey / L</t>
  </si>
  <si>
    <t>S191798112935</t>
  </si>
  <si>
    <t>https://cdn.shopify.com/s/files/1/0471/0885/files/MM42160_1.jpg?v=1712848392</t>
  </si>
  <si>
    <t>Stone Desert Journey</t>
  </si>
  <si>
    <t>MM42160-0STDJ-ST</t>
  </si>
  <si>
    <t>Mountain and Isles Men's Synthetic 1-Pocket Button Up Shirt Stone Desert Journey / M</t>
  </si>
  <si>
    <t>S191798112928</t>
  </si>
  <si>
    <t>Mountain and Isles Women's Mini Quilt 1/4 Snap Front Pullover Cream / S</t>
  </si>
  <si>
    <t>S191798785276</t>
  </si>
  <si>
    <t>https://cdn.shopify.com/s/files/1/0471/0885/files/191798785283-1.jpg?v=1704222793</t>
  </si>
  <si>
    <t>Cream</t>
  </si>
  <si>
    <t>MW42156</t>
  </si>
  <si>
    <t>Mountain and Isles Women's Mini Quilt 1/4 Snap Front Pullover Cream / XS</t>
  </si>
  <si>
    <t>S191798785269</t>
  </si>
  <si>
    <t>Mountain and Isles Women's Mini Quilt 1/4 Snap Front Pullover Midnight Navy / M</t>
  </si>
  <si>
    <t>S191798785238</t>
  </si>
  <si>
    <t>https://cdn.shopify.com/s/files/1/0471/0885/files/191798785238-1.jpg?v=1704222793</t>
  </si>
  <si>
    <t>Mountain and Isles Women's Mini Quilt 1/4 Snap Front Pullover Midnight Navy / S</t>
  </si>
  <si>
    <t>S191798785221</t>
  </si>
  <si>
    <t>Mountain and Isles Women's Mini Quilt 1/4 Snap Front Pullover Midnight Navy / XS</t>
  </si>
  <si>
    <t>S191798785214</t>
  </si>
  <si>
    <t>Muk Luks Women's About Town Sandals Black / 10</t>
  </si>
  <si>
    <t>S033977384644</t>
  </si>
  <si>
    <t>https://cdn.shopify.com/s/files/1/0471/0885/products/MukLuksWomen_sAboutTownSandalsBlack-1.jpg?v=1721768671</t>
  </si>
  <si>
    <t>Muk Luks</t>
  </si>
  <si>
    <t>Muk Luks Women's About Town Sandals Black / 11</t>
  </si>
  <si>
    <t>S033977384651</t>
  </si>
  <si>
    <t>Muk Luks Women's Montana Big Sky Ankle Bootie Black / 7</t>
  </si>
  <si>
    <t>S33977567467</t>
  </si>
  <si>
    <t>https://cdn.shopify.com/s/files/1/0471/0885/files/MukLuksWomen_sMontanaBigSkyAnkleBootie_Black-1.jpg?v=1725560277</t>
  </si>
  <si>
    <t>Muk Luks Women's Montana Big Sky Ankle Bootie Black / 8</t>
  </si>
  <si>
    <t>S33977567481</t>
  </si>
  <si>
    <t>Muk Luks Women's Montana Big Sky Ankle Bootie Black / 9</t>
  </si>
  <si>
    <t>S33977567504</t>
  </si>
  <si>
    <t>Muk Luks Women's Sun Catcher Sandals Black / 11</t>
  </si>
  <si>
    <t>S033977473515</t>
  </si>
  <si>
    <t>https://cdn.shopify.com/s/files/1/0471/0885/products/MukLuksWomen_sSunCatcherSandalsBlack-1.jpg?v=1721768696</t>
  </si>
  <si>
    <t>Muk Luks Women's Sun Catcher Sandals White / 10</t>
  </si>
  <si>
    <t>S033977473560</t>
  </si>
  <si>
    <t>https://cdn.shopify.com/s/files/1/0471/0885/products/MukLuksWomen_sSunCatcherSandalsWhite-1.jpg?v=1721768708</t>
  </si>
  <si>
    <t>Muk Luks Women's Sun Catcher Sandals White / 11</t>
  </si>
  <si>
    <t>S033977473577</t>
  </si>
  <si>
    <t>Muk Luks Women's Tidal Wave Sandals White / 10</t>
  </si>
  <si>
    <t>S033977473140</t>
  </si>
  <si>
    <t>https://cdn.shopify.com/s/files/1/0471/0885/products/MukLuksWomen_sTidalWaveSandalsWhite-1.jpg?v=1721768720</t>
  </si>
  <si>
    <t>Muk Luks Women's Tidal Wave Sandals White / 11</t>
  </si>
  <si>
    <t>S033977473157</t>
  </si>
  <si>
    <t>Muk Luks Women's Flexi-Bridgehampton Boots Dark Grey / 6</t>
  </si>
  <si>
    <t>S033977428140</t>
  </si>
  <si>
    <t>https://cdn.shopify.com/s/files/1/0471/0885/products/S033977428140_MukLuksWomen_sFlexi-BridgehamptonBootsGrey-1.jpg?v=1717242710</t>
  </si>
  <si>
    <t>Dark Grey</t>
  </si>
  <si>
    <t>Muk Luks Women's Flexi-Bridgehampton Boots Dark Grey / 6.5</t>
  </si>
  <si>
    <t>S033977428157</t>
  </si>
  <si>
    <t>Muk Luks Women's Flexi-Bridgehampton Boots Dark Grey / 7</t>
  </si>
  <si>
    <t>S033977428164</t>
  </si>
  <si>
    <t>Muk Luks Women's Flexi-Bridgehampton Boots Dark Grey / 8</t>
  </si>
  <si>
    <t>S033977428188</t>
  </si>
  <si>
    <t>Muk Luks Women's Flexi Chelsea Ankle Bootie Black / 6</t>
  </si>
  <si>
    <t>S33977463141</t>
  </si>
  <si>
    <t>https://cdn.shopify.com/s/files/1/0471/0885/files/MukLuksWomen_sFlexiChelseaAnkleBootie_Black-1.jpg?v=1725558850</t>
  </si>
  <si>
    <t>Muk Luks Women's Flexi Chelsea Ankle Bootie Black / 6.5</t>
  </si>
  <si>
    <t>S33977463158</t>
  </si>
  <si>
    <t>Muk Luks Women's Flexi Chelsea Ankle Bootie Black / 7</t>
  </si>
  <si>
    <t>S33977463165</t>
  </si>
  <si>
    <t>Muk Luks Women's Flexi Chelsea Ankle Bootie Black / 7.5</t>
  </si>
  <si>
    <t>S33977463172</t>
  </si>
  <si>
    <t>Muk Luks Women's Flexi Chelsea Ankle Bootie Black / 8</t>
  </si>
  <si>
    <t>S33977463189</t>
  </si>
  <si>
    <t>Muk Luks Women's Flexi Chelsea Ankle Bootie Black / 8.5</t>
  </si>
  <si>
    <t>S33977463196</t>
  </si>
  <si>
    <t>Muk Luks Women's Flexi Chelsea Ankle Bootie Black / 9</t>
  </si>
  <si>
    <t>S33977463202</t>
  </si>
  <si>
    <t>Muk Luks Women's Flexi Chelsea Ankle Bootie Black / 9.5</t>
  </si>
  <si>
    <t>S33977463219</t>
  </si>
  <si>
    <t>Muk Luks Women's Flexi Chelsea Ankle Bootie Chestnut / 10</t>
  </si>
  <si>
    <t>S33977463127</t>
  </si>
  <si>
    <t>https://cdn.shopify.com/s/files/1/0471/0885/files/MukLuksWomen_sFlexiChelseaAnkleBootie_Chestnut-1.jpg?v=1725558850</t>
  </si>
  <si>
    <t>Muk Luks Women's Flexi Chelsea Ankle Bootie Chestnut / 6</t>
  </si>
  <si>
    <t>S33977463042</t>
  </si>
  <si>
    <t>Muk Luks Women's Flexi Chelsea Ankle Bootie Chestnut / 8</t>
  </si>
  <si>
    <t>S33977463080</t>
  </si>
  <si>
    <t>Muk Luks Women's Flexi Chelsea Ankle Bootie Chestnut / 9</t>
  </si>
  <si>
    <t>S33977463103</t>
  </si>
  <si>
    <t>Muk Luks Women's Flexi-Albany Boots Black Suede / 6</t>
  </si>
  <si>
    <t>S033977426849</t>
  </si>
  <si>
    <t>https://cdn.shopify.com/s/files/1/0471/0885/products/S033977426856_MukLuksWomen_sFlexi-AlbanyBootsBlack-1.jpg?v=1717242884</t>
  </si>
  <si>
    <t>Black Suede</t>
  </si>
  <si>
    <t>Muk Luks Women's Flexi-Albany Boots Black Suede / 6.5</t>
  </si>
  <si>
    <t>S033977426856</t>
  </si>
  <si>
    <t>Muk Luks Women's Flexi-Albany Boots Black Suede / 7</t>
  </si>
  <si>
    <t>S033977426863</t>
  </si>
  <si>
    <t>Muk Luks Women's Flexi-Albany Boots Black Suede / 8</t>
  </si>
  <si>
    <t>S033977426887</t>
  </si>
  <si>
    <t>Nike Youth Stock Recruit Practice Jersey Pewter/Black / S</t>
  </si>
  <si>
    <t>S192498018299</t>
  </si>
  <si>
    <t>https://cdn.shopify.com/s/files/1/0471/0885/products/192498018299.jpg?v=1721754482</t>
  </si>
  <si>
    <t>Nike</t>
  </si>
  <si>
    <t>Pewter/Black</t>
  </si>
  <si>
    <t>AO4802-057</t>
  </si>
  <si>
    <t>Nike Youth Stock Recruit Practice Jersey Scarlet/White / M</t>
  </si>
  <si>
    <t>S192498018589</t>
  </si>
  <si>
    <t>Scarlet/White</t>
  </si>
  <si>
    <t>AO4802-657</t>
  </si>
  <si>
    <t>Nike Youth Tiempo Premier II Short Sleeve Jersey White/Black / XL</t>
  </si>
  <si>
    <t>S888412046775</t>
  </si>
  <si>
    <t>White/Black</t>
  </si>
  <si>
    <t>894114-101</t>
  </si>
  <si>
    <t>Nike Girl's Vapor Select Softball Pants Black/White / XL</t>
  </si>
  <si>
    <t>S193150193910</t>
  </si>
  <si>
    <t>Black/White</t>
  </si>
  <si>
    <t>AV6882-010</t>
  </si>
  <si>
    <t>Nike Men's Icon Futura Short Sleeve Tee White / L</t>
  </si>
  <si>
    <t>S191888621989</t>
  </si>
  <si>
    <t>AR5004</t>
  </si>
  <si>
    <t>Nike Men's Legend Short Sleeve Shirt Dark Grey / L</t>
  </si>
  <si>
    <t>S823229482552</t>
  </si>
  <si>
    <t>Nike Men's Sportswear Club Hoodie White / L</t>
  </si>
  <si>
    <t>S193147719338</t>
  </si>
  <si>
    <t>BV2973</t>
  </si>
  <si>
    <t>Nike Women's Tempo Shorts Purple / XS</t>
  </si>
  <si>
    <t>S91203926631</t>
  </si>
  <si>
    <t>https://cdn.shopify.com/s/files/1/0471/0885/files/Nike-Womens-Tempo-Shorts_Purple-1.png?v=1726853873</t>
  </si>
  <si>
    <t>Purple</t>
  </si>
  <si>
    <t>Nike Toddler Court Borough Mid 2 Shoes White/University Red/Black / 9</t>
  </si>
  <si>
    <t>S194957438365</t>
  </si>
  <si>
    <t>https://cdn.shopify.com/s/files/1/0471/0885/products/194957438310_Nike-Toddler-Court-Borough-Mid-2-Black-Black-Black-1.jpg?v=1721743401</t>
  </si>
  <si>
    <t>White/University Red/Black</t>
  </si>
  <si>
    <t>CD7784-110</t>
  </si>
  <si>
    <t>Rainforest Men's Catch Swim Trunks Bering Sea / L</t>
  </si>
  <si>
    <t>S841314199208</t>
  </si>
  <si>
    <t>https://cdn.shopify.com/s/files/1/0471/0885/files/841314199192-1.jpg?v=1710879785</t>
  </si>
  <si>
    <t>Rainforest</t>
  </si>
  <si>
    <t>Bering Sea</t>
  </si>
  <si>
    <t>RF4002</t>
  </si>
  <si>
    <t>Rainforest Men's Catch Swim Trunks Bering Sea / M</t>
  </si>
  <si>
    <t>S841314199192</t>
  </si>
  <si>
    <t>Rainforest Men's Catch Swim Trunks Bering Sea / S</t>
  </si>
  <si>
    <t>S841314199185</t>
  </si>
  <si>
    <t>Rainforest Men's Catch Swim Trunks Bering Sea / XL</t>
  </si>
  <si>
    <t>S841314199215</t>
  </si>
  <si>
    <t>Rainforest Men's Flamingo Blues Swim Trunks Navy / L</t>
  </si>
  <si>
    <t>S019520061460</t>
  </si>
  <si>
    <t>https://cdn.shopify.com/s/files/1/0471/0885/files/019520061453-1.jpg?v=1710879426</t>
  </si>
  <si>
    <t>RF4007</t>
  </si>
  <si>
    <t>Rainforest Men's Flamingo Blues Swim Trunks Navy / M</t>
  </si>
  <si>
    <t>S019520061453</t>
  </si>
  <si>
    <t>Rainforest Men's Flamingo Blues Swim Trunks Navy / S</t>
  </si>
  <si>
    <t>S019520061446</t>
  </si>
  <si>
    <t>Rainforest Men's Rock Lobster Swim Trunks Ribbon Red / L</t>
  </si>
  <si>
    <t>S841314196726</t>
  </si>
  <si>
    <t>https://cdn.shopify.com/s/files/1/0471/0885/files/841314196719-1.jpg?v=1710879744</t>
  </si>
  <si>
    <t>Ribbon Red</t>
  </si>
  <si>
    <t>RF4017</t>
  </si>
  <si>
    <t>Rainforest Men's Rock Lobster Swim Trunks Ribbon Red / M</t>
  </si>
  <si>
    <t>S841314196719</t>
  </si>
  <si>
    <t>Rainforest Men's Rock Lobster Swim Trunks Ribbon Red / S</t>
  </si>
  <si>
    <t>S841314196702</t>
  </si>
  <si>
    <t>Rainforest Men's The Dockside Polo Black / L</t>
  </si>
  <si>
    <t>S195206103850</t>
  </si>
  <si>
    <t>https://cdn.shopify.com/s/files/1/0471/0885/files/195206103843-1.jpg?v=1710879673</t>
  </si>
  <si>
    <t>RF01A30030</t>
  </si>
  <si>
    <t>Rainforest Men's The Dockside Polo Black / M</t>
  </si>
  <si>
    <t>S195206103843</t>
  </si>
  <si>
    <t>Rainforest Men's The Dockside Polo Black / XL</t>
  </si>
  <si>
    <t>S195206103867</t>
  </si>
  <si>
    <t>Rainforest Men's The Dockside Polo White / 2XL</t>
  </si>
  <si>
    <t>S195206106523</t>
  </si>
  <si>
    <t>https://cdn.shopify.com/s/files/1/0471/0885/files/195206106493-1.jpg?v=1710879677</t>
  </si>
  <si>
    <t>Canada Weather Gear Men's Sherpa Lined Buffalo Plaid Shirt Jacket Olive/Black / M</t>
  </si>
  <si>
    <t>S791390606292</t>
  </si>
  <si>
    <t>Canada Weather Gear Men's Sherpa Lined Buffalo Plaid Shirt Jacket Olive/Black / S</t>
  </si>
  <si>
    <t>S791390606285</t>
  </si>
  <si>
    <t>Canada Weather Gear Men's Sherpa Lined Buffalo Plaid Shirt Jacket Red Rock/Blue / L</t>
  </si>
  <si>
    <t>S791390606414</t>
  </si>
  <si>
    <t>https://cdn.shopify.com/s/files/1/0471/0885/files/Canada-Weather-Gear-Men_s-Sherpa-Lined-Buffalo-Plaid-Shirt-Jacket_-2802381.jpg?v=1711646841</t>
  </si>
  <si>
    <t>Red Rock/Blue</t>
  </si>
  <si>
    <t>Canada Weather Gear Men's Sherpa Lined Buffalo Plaid Shirt Jacket Red Rock/Blue / M</t>
  </si>
  <si>
    <t>S791390606353</t>
  </si>
  <si>
    <t>Canada Weather Gear Men's Sherpa Lined Buffalo Plaid Shirt Jacket Red Rock/Blue / S</t>
  </si>
  <si>
    <t>S791390606346</t>
  </si>
  <si>
    <t>Canada Weather Gear Men's Sherpa Lined Buffalo Plaid Shirt Jacket Sycamore/Black / L</t>
  </si>
  <si>
    <t>S791390610794</t>
  </si>
  <si>
    <t>https://cdn.shopify.com/s/files/1/0471/0885/files/CanadaWeatherGearMen_sSherpaLinedBuffaloPlaidShirtJacket_Sycamore-Black-1.jpg?v=1723145735</t>
  </si>
  <si>
    <t>Sycamore/Black</t>
  </si>
  <si>
    <t>Canada Weather Gear Men's Sherpa Lined Buffalo Plaid Shirt Jacket Sycamore/Black / M</t>
  </si>
  <si>
    <t>S791390610787</t>
  </si>
  <si>
    <t>Canada Weather Gear Men's Sherpa Lined Buffalo Plaid Shirt Jacket Sycamore/Black / S</t>
  </si>
  <si>
    <t>S791390610770</t>
  </si>
  <si>
    <t>Canada Weather Gear Men's Sherpa Lined Buffalo Plaid Shirt Jacket Vanilla Ice/Black / L</t>
  </si>
  <si>
    <t>S791390624173</t>
  </si>
  <si>
    <t>https://cdn.shopify.com/s/files/1/0471/0885/files/CanadaWeatherGearMen_sSherpaLinedBuffaloPlaidShirtJacket_VanillaIce-Black-1.jpg?v=1723145735</t>
  </si>
  <si>
    <t>Vanilla Ice/Black</t>
  </si>
  <si>
    <t>Canada Weather Gear Men's Sherpa Lined Buffalo Plaid Shirt Jacket Vanilla Ice/Black / M</t>
  </si>
  <si>
    <t>S791390624166</t>
  </si>
  <si>
    <t>Canada Weather Gear Men's Sherpa Lined Buffalo Plaid Shirt Jacket Vanilla Ice/Black / S</t>
  </si>
  <si>
    <t>S791390624159</t>
  </si>
  <si>
    <t>Canada Weather Gear Men's Line Shirt Jacket Castlerock / L</t>
  </si>
  <si>
    <t>S791390226025</t>
  </si>
  <si>
    <t>https://cdn.shopify.com/s/files/1/0471/0885/files/Canada-Weather-Gear-Men_s-Line-Shirt-Jacket_-2816989.jpg?v=1711647330</t>
  </si>
  <si>
    <t>Castlerock</t>
  </si>
  <si>
    <t>CWG025Y2436</t>
  </si>
  <si>
    <t>Canada Weather Gear Men's Line Shirt Jacket Castlerock / M</t>
  </si>
  <si>
    <t>S791390226018</t>
  </si>
  <si>
    <t>Canada Weather Gear Men's Line Shirt Jacket Castlerock / S</t>
  </si>
  <si>
    <t>S791390226001</t>
  </si>
  <si>
    <t>Canada Weather Gear Men's Line Shirt Jacket Vanilla Ice / L</t>
  </si>
  <si>
    <t>S791390226087</t>
  </si>
  <si>
    <t>https://cdn.shopify.com/s/files/1/0471/0885/files/Canada-Weather-Gear-Men_s-Line-Shirt-Jacket_-2817286.jpg?v=1711647311</t>
  </si>
  <si>
    <t>Vanilla Ice</t>
  </si>
  <si>
    <t>Canada Weather Gear Women's Vintage Plaid Double Pocket Shirt Red/Black / L</t>
  </si>
  <si>
    <t>S791390380529</t>
  </si>
  <si>
    <t>https://cdn.shopify.com/s/files/1/0471/0885/files/Canada-Weather-Gear-Women_s-Vintage-Plaid-Double-Pocket-Shirt_-2811481.jpg?v=1711647146</t>
  </si>
  <si>
    <t>Red/Black</t>
  </si>
  <si>
    <t>CWGL0600X2366</t>
  </si>
  <si>
    <t>Canada Weather Gear Women's Vintage Plaid Double Pocket Shirt Red/Black / M</t>
  </si>
  <si>
    <t>S791390380512</t>
  </si>
  <si>
    <t>Canada Weather Gear Women's Vintage Plaid Double Pocket Shirt Red/Black / S</t>
  </si>
  <si>
    <t>S791390380505</t>
  </si>
  <si>
    <t>Canada Weather Gear Women's Vintage Plaid Double Pocket Shirt Rust/Cream / L</t>
  </si>
  <si>
    <t>S791390406441</t>
  </si>
  <si>
    <t>https://cdn.shopify.com/s/files/1/0471/0885/files/Canada-Weather-Gear-Women_s-Vintage-Plaid-Double-Pocket-Shirt_-2811628.jpg?v=1711647139</t>
  </si>
  <si>
    <t>Rust/Cream</t>
  </si>
  <si>
    <t>CWGL0600X1585</t>
  </si>
  <si>
    <t>Canada Weather Gear Women's Vintage Plaid Double Pocket Shirt Rust/Cream / M</t>
  </si>
  <si>
    <t>S791390406434</t>
  </si>
  <si>
    <t>Canada Weather Gear Women's Vintage Plaid Double Pocket Shirt Rust/Cream / S</t>
  </si>
  <si>
    <t>S791390406427</t>
  </si>
  <si>
    <t>Canada Weather Gear Men's Colorblock Jogger Light Grey Heather/Carbon Heather/Black / L</t>
  </si>
  <si>
    <t>S791390572368</t>
  </si>
  <si>
    <t>https://cdn.shopify.com/s/files/1/0471/0885/products/791390572351_Canada-Weather-Gear-Men_s-Colorblock-Jogger-Light-Grey-Heather-Carbon-Heather-Black-1.jpg?v=1708957258</t>
  </si>
  <si>
    <t>Light Grey Heather/Carbon Heather/Black</t>
  </si>
  <si>
    <t>CWG068Y601</t>
  </si>
  <si>
    <t>Joggers</t>
  </si>
  <si>
    <t>Canada Weather Gear Men's Colorblock Jogger Light Grey Heather/Carbon Heather/Black / XL</t>
  </si>
  <si>
    <t>S791390572375</t>
  </si>
  <si>
    <t>Canada Weather Gear Men's Colorblock Jogger Oatmeal Heather/Light Grey Heather/Carbon Heather / L</t>
  </si>
  <si>
    <t>S791390030370</t>
  </si>
  <si>
    <t>https://cdn.shopify.com/s/files/1/0471/0885/products/s791390231234par_20_canada_20weather_20gear_20men_27s_20colorblock_20jogger_20oatmeal_20heather-light_20grey_20heather-carbon_20heather-2.jpg?v=1708957249</t>
  </si>
  <si>
    <t>Oatmeal Heather/Light Grey Heather/Carbon Heather</t>
  </si>
  <si>
    <t>Canada Weather Gear Men's Cargo Bengaline Short Khaki / L</t>
  </si>
  <si>
    <t>S791390742822</t>
  </si>
  <si>
    <t>https://cdn.shopify.com/s/files/1/0471/0885/files/791390742815-1.jpg?v=1721764774</t>
  </si>
  <si>
    <t>Khaki</t>
  </si>
  <si>
    <t>CWG101X1075</t>
  </si>
  <si>
    <t>Canada Weather Gear Men's Cargo Bengaline Short Khaki / M</t>
  </si>
  <si>
    <t>S791390742815</t>
  </si>
  <si>
    <t>Canada Weather Gear Men's Cargo Bengaline Short Khaki / S</t>
  </si>
  <si>
    <t>S791390742808</t>
  </si>
  <si>
    <t>Canada Weather Gear Men's Cargo Bengaline Short Khaki / XL</t>
  </si>
  <si>
    <t>S791390742839</t>
  </si>
  <si>
    <t>Canada Weather Gear Women's Aztec Printed Sherpa Shacket White/Black/Grey / L</t>
  </si>
  <si>
    <t>S791390521366</t>
  </si>
  <si>
    <t>https://cdn.shopify.com/s/files/1/0471/0885/files/Canada-Weather-Gear-Women_s-Aztec-Printed-Sherpa-Shacket_-2806823.jpg?v=1711647001</t>
  </si>
  <si>
    <t>White/Black/Grey</t>
  </si>
  <si>
    <t>CWGL0802Y3390</t>
  </si>
  <si>
    <t>Fleece &amp; Sherpa</t>
  </si>
  <si>
    <t>Canada Weather Gear Women's Aztec Printed Sherpa Shacket White/Black/Grey / M</t>
  </si>
  <si>
    <t>S791390521304</t>
  </si>
  <si>
    <t>Canada Weather Gear Women's Aztec Printed Sherpa Shacket White/Black/Grey / S</t>
  </si>
  <si>
    <t>S791390521298</t>
  </si>
  <si>
    <t>Canada Weather Gear Women's Aztec Printed Sherpa Shacket White/Black/Grey / XL</t>
  </si>
  <si>
    <t>S791390521373</t>
  </si>
  <si>
    <t>Canada Weather Gear Women's Full Zip Printed Sherpa Jacket Grey/White Buffalo Plaid / L</t>
  </si>
  <si>
    <t>S791390213506</t>
  </si>
  <si>
    <t>https://cdn.shopify.com/s/files/1/0471/0885/products/s791390213483par_canada_20weather_20gear_20women_27s_20full_20zip_20unlined_20printed_20sherpa_20jacket_20gray-white_20buffalo_20plaid-1.jpg?v=1708956828</t>
  </si>
  <si>
    <t>Grey/White Buffalo Plaid</t>
  </si>
  <si>
    <t>CWG098Y2409</t>
  </si>
  <si>
    <t>Canada Weather Gear Women's Full Zip Printed Sherpa Jacket Grey/White Buffalo Plaid / M</t>
  </si>
  <si>
    <t>S791390213490</t>
  </si>
  <si>
    <t>Canada Weather Gear Women's Full Zip Printed Sherpa Jacket Grey/White Buffalo Plaid / S</t>
  </si>
  <si>
    <t>S791390213483</t>
  </si>
  <si>
    <t>Canada Weather Gear Women's Full Zip Printed Sherpa Jacket Grey/White Buffalo Plaid / XL</t>
  </si>
  <si>
    <t>S791390213513</t>
  </si>
  <si>
    <t>Canada Weather Gear Women's Full Zip Printed Sherpa Jacket Rust/White Star / M</t>
  </si>
  <si>
    <t>S791390213254</t>
  </si>
  <si>
    <t>https://cdn.shopify.com/s/files/1/0471/0885/products/791390213247-jpg-2.jpg?v=1708956877</t>
  </si>
  <si>
    <t>Rust/White Star</t>
  </si>
  <si>
    <t>CWG098Y2406</t>
  </si>
  <si>
    <t>Canada Weather Gear Women's 2 Pocket Plaid Button Up Long Sleeve Shirt Blush Pink/Grey / L</t>
  </si>
  <si>
    <t>S791390520901</t>
  </si>
  <si>
    <t>https://cdn.shopify.com/s/files/1/0471/0885/products/s791390213780par_canada_20weather_20gear_20women_27s_202_20pocket_20plaid_20button_20up_20long_20sleeve_20shirt_20blush_20pink-gray-1.jpg?v=1708938824</t>
  </si>
  <si>
    <t>Blush Pink/Grey</t>
  </si>
  <si>
    <t>CWGL0600X2532</t>
  </si>
  <si>
    <t>Canada Weather Gear Women's 2 Pocket Plaid Button Up Long Sleeve Shirt Blush Pink/Grey / M</t>
  </si>
  <si>
    <t>S791390520895</t>
  </si>
  <si>
    <t>Canada Weather Gear Women's 2 Pocket Plaid Button Up Long Sleeve Shirt Blush Pink/Grey / S</t>
  </si>
  <si>
    <t>S791390520888</t>
  </si>
  <si>
    <t>Canada Weather Gear Women's 2 Pocket Plaid Button Up Long Sleeve Shirt Blush Pink/Grey / XL</t>
  </si>
  <si>
    <t>S791390520918</t>
  </si>
  <si>
    <t>Canada Weather Gear Women's 2 Pocket Plaid Button Up Long Sleeve Shirt Green/Teal / L</t>
  </si>
  <si>
    <t>S791390520840</t>
  </si>
  <si>
    <t>https://cdn.shopify.com/s/files/1/0471/0885/files/791390520826-1.jpg?v=1714796258</t>
  </si>
  <si>
    <t>Green/Teal</t>
  </si>
  <si>
    <t>CWGL0600X3318</t>
  </si>
  <si>
    <t>Canada Weather Gear Women's 2 Pocket Plaid Button Up Long Sleeve Shirt Green/Teal / M</t>
  </si>
  <si>
    <t>S791390520833</t>
  </si>
  <si>
    <t>Canada Weather Gear Women's 2 Pocket Plaid Button Up Long Sleeve Shirt Green/Teal / S</t>
  </si>
  <si>
    <t>S791390520826</t>
  </si>
  <si>
    <t>Canada Weather Gear Women's 2 Pocket Plaid Button Up Long Sleeve Shirt Green/Teal / XL</t>
  </si>
  <si>
    <t>S791390520857</t>
  </si>
  <si>
    <t>Canada Weather Gear Women's Logo Printed Fleece Hoodie Carbon / M</t>
  </si>
  <si>
    <t>S791390449882</t>
  </si>
  <si>
    <t>https://cdn.shopify.com/s/files/1/0471/0885/products/791390449882_Canada-Weather-Gear-Women_s-Logo-Printed-Super-Soft-Hoodie-Carbon-1_50d8f9e8-13e7-40be-be92-f198ea6def33.jpg?v=1714844992</t>
  </si>
  <si>
    <t>Carbon</t>
  </si>
  <si>
    <t>CWGL0515Y601</t>
  </si>
  <si>
    <t>Canada Weather Gear Women's Logo Printed Fleece Hoodie Carbon / S</t>
  </si>
  <si>
    <t>S791390449875</t>
  </si>
  <si>
    <t>Canada Weather Gear Women's Logo Printed Fleece Hoodie Fire Brick / S</t>
  </si>
  <si>
    <t>S791390449936</t>
  </si>
  <si>
    <t>https://cdn.shopify.com/s/files/1/0471/0885/products/791390449943_Canada-Weather-Gear-Women_s-Logo-Printed-Super-Soft-Hoodie-Fire-Brick-1_71f9fefc-4ea9-4676-991f-3c7bf4725e91.jpg?v=1714844973</t>
  </si>
  <si>
    <t>Fire Brick</t>
  </si>
  <si>
    <t>Canada Weather Gear Women's Unlined Flannel Black/Pink / L</t>
  </si>
  <si>
    <t>S791390611265</t>
  </si>
  <si>
    <t>https://cdn.shopify.com/s/files/1/0471/0885/files/791390611252.jpg?v=1694442488</t>
  </si>
  <si>
    <t>Black/Pink</t>
  </si>
  <si>
    <t>CWGL0600X3584</t>
  </si>
  <si>
    <t>Canada Weather Gear Women's Unlined Flannel Black/Pink / M</t>
  </si>
  <si>
    <t>S791390611258</t>
  </si>
  <si>
    <t>Canada Weather Gear Women's Unlined Flannel Black/Pink / S</t>
  </si>
  <si>
    <t>S791390611241</t>
  </si>
  <si>
    <t>Canada Weather Gear Women's Unlined Flannel Red/Navy / L</t>
  </si>
  <si>
    <t>S791390614143</t>
  </si>
  <si>
    <t>https://cdn.shopify.com/s/files/1/0471/0885/files/791390614132.jpg?v=1694442488</t>
  </si>
  <si>
    <t>Red/Navy</t>
  </si>
  <si>
    <t>CWGL0600X3587</t>
  </si>
  <si>
    <t>Canada Weather Gear Women's Unlined Flannel Red/Navy / M</t>
  </si>
  <si>
    <t>S791390614136</t>
  </si>
  <si>
    <t>Canada Weather Gear Women's Unlined Flannel Red/Navy / S</t>
  </si>
  <si>
    <t>S791390614129</t>
  </si>
  <si>
    <t>Canada Weather Gear Women's Unlined Flannel Red/Navy / XL</t>
  </si>
  <si>
    <t>S791390614150</t>
  </si>
  <si>
    <t>Canada Weather Gear Women's Logo Printed Cowl Neck Fleece Hoodie Oatmeal / L</t>
  </si>
  <si>
    <t>S791390521199</t>
  </si>
  <si>
    <t>https://cdn.shopify.com/s/files/1/0471/0885/products/S791390521175-jpg-2.jpg?v=1714845056</t>
  </si>
  <si>
    <t>Oatmeal</t>
  </si>
  <si>
    <t>CWGL0800Y601</t>
  </si>
  <si>
    <t>Canada Weather Gear Women's Logo Printed Cowl Neck Fleece Hoodie Oatmeal / M</t>
  </si>
  <si>
    <t>S791390521182</t>
  </si>
  <si>
    <t>Canada Weather Gear Women's Logo Printed Cowl Neck Fleece Hoodie Oatmeal / S</t>
  </si>
  <si>
    <t>S791390521175</t>
  </si>
  <si>
    <t>Canada Weather Gear Women's Logo Printed Crewneck Fleece Sweatshirt Ivory / L</t>
  </si>
  <si>
    <t>S791390472354</t>
  </si>
  <si>
    <t>https://cdn.shopify.com/s/files/1/0471/0885/files/Canada-Weather-Gear-Women_s-Logo-Printed-Crewneck-Fleece-Sweatshirt_-2808147.jpg?v=1711647026</t>
  </si>
  <si>
    <t>Ivory</t>
  </si>
  <si>
    <t>CWGL0514Y601</t>
  </si>
  <si>
    <t>Crewneck</t>
  </si>
  <si>
    <t>Canada Weather Gear Women's Logo Printed Crewneck Fleece Sweatshirt Ivory / M</t>
  </si>
  <si>
    <t>S791390472347</t>
  </si>
  <si>
    <t>Canada Weather Gear Women's Logo Printed Crewneck Fleece Sweatshirt Ivory / S</t>
  </si>
  <si>
    <t>S791390472330</t>
  </si>
  <si>
    <t>Canada Weather Gear Women's Sweater Fleece Climb Jacket Heather Dusty Rose / M</t>
  </si>
  <si>
    <t>S197675054848</t>
  </si>
  <si>
    <t>https://cdn.shopify.com/s/files/1/0471/0885/files/196096975305-1_1.jpg?v=1702488233</t>
  </si>
  <si>
    <t>Heather Dusty Rose</t>
  </si>
  <si>
    <t>OLCW975</t>
  </si>
  <si>
    <t>Canada Weather Gear Women's Sweater Fleece Climb Jacket Heather Dusty Rose / S</t>
  </si>
  <si>
    <t>S197675054824</t>
  </si>
  <si>
    <t>Canada Weather Gear Women's Sweater Fleece Climb Jacket Heather Grey / L</t>
  </si>
  <si>
    <t>S197675054688</t>
  </si>
  <si>
    <t>Canada Weather Gear Women's Sweater Fleece Climb Jacket Heather Grey / M</t>
  </si>
  <si>
    <t>S197675054671</t>
  </si>
  <si>
    <t>Canada Weather Gear Women's Sweater Fleece Climb Jacket Heather Mystic Lake / S</t>
  </si>
  <si>
    <t>S196096975381</t>
  </si>
  <si>
    <t>https://cdn.shopify.com/s/files/1/0471/0885/files/196096975398-1_1.jpg?v=1702488233</t>
  </si>
  <si>
    <t>Heather Mystic Lake</t>
  </si>
  <si>
    <t>Canada Weather Gear Women's Puffer Jacket with Sweater Sleeves Black / M</t>
  </si>
  <si>
    <t>S198524012965</t>
  </si>
  <si>
    <t>https://cdn.shopify.com/s/files/1/0471/0885/files/CanadaWeatherGearWomen_sPufferJacketwithSweaterSleeves_Black-1.jpg?v=1724690793</t>
  </si>
  <si>
    <t>43002CBK</t>
  </si>
  <si>
    <t>Canada Weather Gear Women's Puffer Jacket with Sweater Sleeves Black / S</t>
  </si>
  <si>
    <t>S198524012958</t>
  </si>
  <si>
    <t>Canada Weather Gear Women's Puffer Jacket with Sweater Sleeves Ivory / L</t>
  </si>
  <si>
    <t>S198524012927</t>
  </si>
  <si>
    <t>https://cdn.shopify.com/s/files/1/0471/0885/files/CanadaWeatherGearWomen_sPufferJacketwithSweaterSleeves_Ivory-1.jpg?v=1724690793</t>
  </si>
  <si>
    <t>43002CIV</t>
  </si>
  <si>
    <t>Canada Weather Gear Men's Woolverton Fleece Quilted Jacket Oatmeal / L</t>
  </si>
  <si>
    <t>S791390724682</t>
  </si>
  <si>
    <t>https://cdn.shopify.com/s/files/1/0471/0885/files/CanadaWeatherGearMen_sWoolvertonFleeceQuiltedJacket_Oatmeal-1.jpg?v=1723150823</t>
  </si>
  <si>
    <t>CWG118Y601</t>
  </si>
  <si>
    <t>Canada Weather Gear Men's Woolverton Fleece Quilted Jacket Oatmeal / S</t>
  </si>
  <si>
    <t>S791390724415</t>
  </si>
  <si>
    <t>Canada Weather Gear Men's Sherpa Lined Flannel Black/Grey / L</t>
  </si>
  <si>
    <t>S791390673348</t>
  </si>
  <si>
    <t>https://cdn.shopify.com/s/files/1/0471/0885/files/CanadaWeatherGearMen_sSherpaLinedFlannel_Black-Grey_1.jpg?v=1731685671</t>
  </si>
  <si>
    <t>Black/Grey</t>
  </si>
  <si>
    <t>CWG112X4379</t>
  </si>
  <si>
    <t>Canada Weather Gear Men's Colorblock 1/4 Zip Grey Camo / L</t>
  </si>
  <si>
    <t>S791390789483</t>
  </si>
  <si>
    <t>https://cdn.shopify.com/s/files/1/0471/0885/files/791390789472.jpg?v=1694442594</t>
  </si>
  <si>
    <t>CWG031Y3449</t>
  </si>
  <si>
    <t>Canada Weather Gear Men's Hi-Pile Fuzz Fleece 1/4 Zip Chiseled Stone / L</t>
  </si>
  <si>
    <t>S791390548134</t>
  </si>
  <si>
    <t>https://cdn.shopify.com/s/files/1/0471/0885/files/791390548127-1.jpg?v=1704407404</t>
  </si>
  <si>
    <t>Chiseled Stone</t>
  </si>
  <si>
    <t>CWG130Y3887</t>
  </si>
  <si>
    <t>Canada Weather Gear Men's Hi-Pile Fuzz Fleece 1/4 Zip Pineneedle / L</t>
  </si>
  <si>
    <t>S791390552155</t>
  </si>
  <si>
    <t>https://cdn.shopify.com/s/files/1/0471/0885/files/791390552148-1.jpg?v=1704407435</t>
  </si>
  <si>
    <t>Pineneedle</t>
  </si>
  <si>
    <t>Canada Weather Gear Women's Fleece Sweatshirt Dark Charcoal / M</t>
  </si>
  <si>
    <t>S791390213612</t>
  </si>
  <si>
    <t>https://cdn.shopify.com/s/files/1/0471/0885/products/s791390213544par_canada_20weather_20gear_20women_27s_20fleece_20sweatshirt_20grey-1.jpg?v=1708948140</t>
  </si>
  <si>
    <t>Dark Charcoal</t>
  </si>
  <si>
    <t>Canada Weather Gear Men's Fleece Lined Flannel Rust/Black/Cream / S</t>
  </si>
  <si>
    <t>S791390589946</t>
  </si>
  <si>
    <t>https://cdn.shopify.com/s/files/1/0471/0885/files/Canada-Weather-Gear-Men_s-Fleece-Lined-Flannel_-2803713.jpg?v=1711646885</t>
  </si>
  <si>
    <t>Rust/Black/Cream</t>
  </si>
  <si>
    <t>CWG001X1113</t>
  </si>
  <si>
    <t>Canada Weather Gear Women's Logo Drawstring Sweater Cerulean / M</t>
  </si>
  <si>
    <t>S791390323533</t>
  </si>
  <si>
    <t>https://cdn.shopify.com/s/files/1/0471/0885/files/7913903235262.jpg?v=1736284355</t>
  </si>
  <si>
    <t>Cerulean</t>
  </si>
  <si>
    <t>CWGL210Y1021</t>
  </si>
  <si>
    <t>Canada Weather Gear Women's Logo Drawstring Sweater Cerulean / S</t>
  </si>
  <si>
    <t>S791390323526</t>
  </si>
  <si>
    <t>Canada Weather Gear Women's Logo Drawstring Sweater Pastel Pink / M</t>
  </si>
  <si>
    <t>S791390323595</t>
  </si>
  <si>
    <t>https://cdn.shopify.com/s/files/1/0471/0885/files/7913903235882.jpg?v=1697052361</t>
  </si>
  <si>
    <t>Pastel Pink</t>
  </si>
  <si>
    <t>Canada Weather Gear Women's Logo Drawstring Sweater Pastel Pink / S</t>
  </si>
  <si>
    <t>S791390323588</t>
  </si>
  <si>
    <t>Canada Weather Gear Men's 1/2 Zip Hoodie Olive/Black / S</t>
  </si>
  <si>
    <t>S791390602065</t>
  </si>
  <si>
    <t>https://cdn.shopify.com/s/files/1/0471/0885/files/2-Zip-Hoodie_-2794425.jpg?v=1711646522</t>
  </si>
  <si>
    <t>CWG071Y601</t>
  </si>
  <si>
    <t>Canada Weather Gear Men's 1/2 Zip Hoodie Red/Black / L</t>
  </si>
  <si>
    <t>S791390602195</t>
  </si>
  <si>
    <t>https://cdn.shopify.com/s/files/1/0471/0885/files/2-Zip-Hoodie_-2794151-2794164-2794180.jpg?v=1711646633</t>
  </si>
  <si>
    <t>Canada Weather Gear Men's 1/2 Zip Hoodie Red/Black / M</t>
  </si>
  <si>
    <t>S791390602188</t>
  </si>
  <si>
    <t>Canada Weather Gear Men's Fleece-Dye Supreme Soft 1/4 Zip Red/Carbon / L</t>
  </si>
  <si>
    <t>S791390712948</t>
  </si>
  <si>
    <t>https://cdn.shopify.com/s/files/1/0471/0885/files/7913907129312.jpg?v=1698853746</t>
  </si>
  <si>
    <t>Red/Carbon</t>
  </si>
  <si>
    <t>CWG063Y708</t>
  </si>
  <si>
    <t>Canada Weather Gear Men's Long Sleeve Two Tone Supreme Soft Henley Samba Maroon / L</t>
  </si>
  <si>
    <t>S791390570227</t>
  </si>
  <si>
    <t>https://cdn.shopify.com/s/files/1/0471/0885/files/Canada-Weather-Gear-Men_s-Long-Sleeve-Two-Tone-Supreme-Soft-Henley_-2800137.jpg?v=1712263905</t>
  </si>
  <si>
    <t>Samba Maroon</t>
  </si>
  <si>
    <t>CWG044Y2367RC</t>
  </si>
  <si>
    <t>Canada Weather Gear Men's Unlined Flannel Blue/Black / L</t>
  </si>
  <si>
    <t>S791390528907</t>
  </si>
  <si>
    <t>https://cdn.shopify.com/s/files/1/0471/0885/files/S791390528891-jpg-9_9119bf7b-0a0b-4186-aa0b-301ff1a23277.jpg?v=1721764200</t>
  </si>
  <si>
    <t>Blue/Black</t>
  </si>
  <si>
    <t>CWG024X2372</t>
  </si>
  <si>
    <t>Canada Weather Gear Men's 1/2 Zip Hoodie Black/Red / L</t>
  </si>
  <si>
    <t>S791390613979</t>
  </si>
  <si>
    <t>https://cdn.shopify.com/s/files/1/0471/0885/files/2-Zip-Hoodie_-2795587.jpg?v=1711646558</t>
  </si>
  <si>
    <t>Black/Red</t>
  </si>
  <si>
    <t>Canada Weather Gear Men's 1/2 Zip Hoodie Black/Red / S</t>
  </si>
  <si>
    <t>S791390610985</t>
  </si>
  <si>
    <t>Canada Weather Gear Men's 1/2 Zip Hoodie Dark Blue/Black / L</t>
  </si>
  <si>
    <t>S791390603697</t>
  </si>
  <si>
    <t>https://cdn.shopify.com/s/files/1/0471/0885/files/2-Zip-Hoodie_-2794736-2794759.jpg?v=1711646551</t>
  </si>
  <si>
    <t>Dark Blue/Black</t>
  </si>
  <si>
    <t>Canada Weather Gear Men's 1/2 Zip Hoodie Red/Black / S</t>
  </si>
  <si>
    <t>S791390602171</t>
  </si>
  <si>
    <t>Canada Weather Gear Women's 1/4 Zip Aztec Printed Sherpa Black/Burgundy / L</t>
  </si>
  <si>
    <t>S791390380345</t>
  </si>
  <si>
    <t>https://cdn.shopify.com/s/files/1/0471/0885/files/4-Zip-Aztec-Printed-Sherpa_-2806442.jpg?v=1711646957</t>
  </si>
  <si>
    <t>Black/Burgundy</t>
  </si>
  <si>
    <t>CWGL0511Y3389</t>
  </si>
  <si>
    <t>Canada Weather Gear Women's 1/4 Zip Aztec Printed Sherpa Black/Burgundy / M</t>
  </si>
  <si>
    <t>S791390380338</t>
  </si>
  <si>
    <t>Canada Weather Gear Women's 1/4 Zip Aztec Printed Sherpa Black/Burgundy / S</t>
  </si>
  <si>
    <t>S791390380321</t>
  </si>
  <si>
    <t>Canada Weather Gear Women's 1/4 Zip Aztec Printed Sherpa Black/Burgundy / XL</t>
  </si>
  <si>
    <t>S791390380352</t>
  </si>
  <si>
    <t>Canada Weather Gear Women's 1/4 Zip Aztec Printed Sherpa White/Black/Grey / L</t>
  </si>
  <si>
    <t>S791390380284</t>
  </si>
  <si>
    <t>https://cdn.shopify.com/s/files/1/0471/0885/files/4-Zip-Aztec-Printed-Sherpa_-2806043.jpg?v=1711646981</t>
  </si>
  <si>
    <t>CWGL0511Y3390</t>
  </si>
  <si>
    <t>Canada Weather Gear Women's 1/4 Zip Aztec Printed Sherpa White/Black/Grey / M</t>
  </si>
  <si>
    <t>S791390380277</t>
  </si>
  <si>
    <t>Canada Weather Gear Women's 1/4 Zip Aztec Printed Sherpa White/Black/Grey / S</t>
  </si>
  <si>
    <t>S791390379905</t>
  </si>
  <si>
    <t>Canada Weather Gear Women's 1/4 Zip Aztec Printed Sherpa White/Black/Grey / XL</t>
  </si>
  <si>
    <t>S791390380291</t>
  </si>
  <si>
    <t>Canada Weather Gear Women's Aztec Printed Sherpa Shacket Black/Grey/Mauve / L</t>
  </si>
  <si>
    <t>S791390521472</t>
  </si>
  <si>
    <t>https://cdn.shopify.com/s/files/1/0471/0885/files/Canada-Weather-Gear-Women_s-Aztec-Printed-Sherpa-Shacket_-2807244.jpg?v=1711646983</t>
  </si>
  <si>
    <t>Black/Grey/Mauve</t>
  </si>
  <si>
    <t>CWGL0802Y3391</t>
  </si>
  <si>
    <t>Canada Weather Gear Women's Aztec Printed Sherpa Shacket Black/Grey/Mauve / M</t>
  </si>
  <si>
    <t>S791390521465</t>
  </si>
  <si>
    <t>Canada Weather Gear Women's Aztec Printed Sherpa Shacket Black/Grey/Mauve / S</t>
  </si>
  <si>
    <t>S791390521403</t>
  </si>
  <si>
    <t>Canada Weather Gear Women's Full Zip Printed Sherpa Jacket Black Grey/Cheetah / M</t>
  </si>
  <si>
    <t>S791390213315</t>
  </si>
  <si>
    <t>https://cdn.shopify.com/s/files/1/0471/0885/products/s791390213483par_canada_20weather_20gear_20women_27s_20full_20zip_20unlined_20printed_20sherpa_20jacket_20black_20grey-cheetah-1.jpg?v=1708956835</t>
  </si>
  <si>
    <t>Black Grey/Cheetah</t>
  </si>
  <si>
    <t>Canada Weather Gear Women's Full Zip Printed Sherpa Jacket Black Grey/Cheetah / S</t>
  </si>
  <si>
    <t>S791390213308</t>
  </si>
  <si>
    <t>Canada Weather Gear Women's Full Zip Printed Sherpa Jacket Rust/White Star / L</t>
  </si>
  <si>
    <t>S791390213261</t>
  </si>
  <si>
    <t>Canada Weather Gear Women's Puffer Vest with Faux Fur Trim Hood Pink Haze / M</t>
  </si>
  <si>
    <t>S196730076559</t>
  </si>
  <si>
    <t>https://cdn.shopify.com/s/files/1/0471/0885/products/196730076542_Canada-Weather-Gear-Women_s-Puffer-Vest-with-Faux-Fur-Trim-Hood-Pink-Haze.jpg?v=1736284255</t>
  </si>
  <si>
    <t>Pink Haze</t>
  </si>
  <si>
    <t>OLCW803PZ</t>
  </si>
  <si>
    <t>Canada Weather Gear Women's Sweater Fleece Climb Jacket Heather Oatmeal / L</t>
  </si>
  <si>
    <t>S196096975480</t>
  </si>
  <si>
    <t>https://cdn.shopify.com/s/files/1/0471/0885/files/196096975466-1_1.jpg?v=1702476526</t>
  </si>
  <si>
    <t>Heather Oatmeal</t>
  </si>
  <si>
    <t>Canada Weather Gear Women's Sweater Fleece Climb Jacket Heather Oatmeal / M</t>
  </si>
  <si>
    <t>S196096975473</t>
  </si>
  <si>
    <t>Canada Weather Gear Women's Sweater Fleece Climb Jacket Heather Oatmeal / S</t>
  </si>
  <si>
    <t>S196096975466</t>
  </si>
  <si>
    <t>Canada Weather Gear Women's Sweater Fleece Climb Jacket Heather Black / M</t>
  </si>
  <si>
    <t>S196096975558</t>
  </si>
  <si>
    <t>https://cdn.shopify.com/s/files/1/0471/0885/files/196096975541-1_1.jpg?v=1702476527</t>
  </si>
  <si>
    <t>Heather Black</t>
  </si>
  <si>
    <t>Canada Weather Gear Women's Sweater Fleece Climb Jacket Heather Black / S</t>
  </si>
  <si>
    <t>S196096975541</t>
  </si>
  <si>
    <t>Canada Weather Gear Women's Sherpa Jacket Toffee / L</t>
  </si>
  <si>
    <t>S196096978658</t>
  </si>
  <si>
    <t>https://cdn.shopify.com/s/files/1/0471/0885/files/196096978573-1.jpg?v=1701971900</t>
  </si>
  <si>
    <t>Toffee</t>
  </si>
  <si>
    <t>OLCW874</t>
  </si>
  <si>
    <t>Canada Weather Gear Women's Sherpa Jacket Toffee / M</t>
  </si>
  <si>
    <t>S196096978641</t>
  </si>
  <si>
    <t>Canada Weather Gear Women's Hamilton Lace Up Ankle Boots Black / 10</t>
  </si>
  <si>
    <t>S196064358901</t>
  </si>
  <si>
    <t>https://cdn.shopify.com/s/files/1/0471/0885/files/CanadaWeatherGearWomen_sHamiltonLaceUpAnkleBoots_Black-1.jpg?v=1724254721</t>
  </si>
  <si>
    <t>A-Hamilton</t>
  </si>
  <si>
    <t>Canada Weather Gear Women's Hamilton Lace Up Ankle Boots Black / 11</t>
  </si>
  <si>
    <t>S196064358918</t>
  </si>
  <si>
    <t>Canada Weather Gear Women's Hamilton Lace Up Ankle Boots Black / 6</t>
  </si>
  <si>
    <t>S196064358864</t>
  </si>
  <si>
    <t>Canada Weather Gear Women's Hamilton Lace Up Ankle Boots Black / 7</t>
  </si>
  <si>
    <t>S196064358871</t>
  </si>
  <si>
    <t>Canada Weather Gear Women's Hamilton Lace Up Ankle Boots Black / 8</t>
  </si>
  <si>
    <t>S196064358888</t>
  </si>
  <si>
    <t>Canada Weather Gear Women's Hamilton Lace Up Ankle Boots Black / 9</t>
  </si>
  <si>
    <t>S196064358895</t>
  </si>
  <si>
    <t>Canada Weather Gear Women's Hamilton Lace Up Ankle Boots Chestnut / 11</t>
  </si>
  <si>
    <t>S196064359038</t>
  </si>
  <si>
    <t>https://cdn.shopify.com/s/files/1/0471/0885/files/CanadaWeatherGearWomen_sHamiltonLaceUpAnkleBoots_Chestnut-1.jpg?v=1724254722</t>
  </si>
  <si>
    <t>Chestnut</t>
  </si>
  <si>
    <t>Canada Weather Gear Women's Hamilton Lace Up Ankle Boots Chestnut / 6</t>
  </si>
  <si>
    <t>S196064358987</t>
  </si>
  <si>
    <t>Canada Weather Gear Women's Hamilton Lace Up Ankle Boots Chestnut / 7</t>
  </si>
  <si>
    <t>S196064358994</t>
  </si>
  <si>
    <t>Canada Weather Gear Women's Hamilton Lace Up Ankle Boots Chestnut / 8</t>
  </si>
  <si>
    <t>S196064359007</t>
  </si>
  <si>
    <t>Canada Weather Gear Women's Hamilton Lace Up Ankle Boots Chestnut / 9</t>
  </si>
  <si>
    <t>S196064359014</t>
  </si>
  <si>
    <t>Canada Weather Gear Women's Eddie Clog Shoes Black / 6</t>
  </si>
  <si>
    <t>S196064372242</t>
  </si>
  <si>
    <t>https://cdn.shopify.com/s/files/1/0471/0885/files/CanadaWeatherGearWomen_sEddieClogShoes_Black-1.jpg?v=1724254018</t>
  </si>
  <si>
    <t>A-Eddie</t>
  </si>
  <si>
    <t>Canada Weather Gear Women's Eddie Clog Shoes Black / 7</t>
  </si>
  <si>
    <t>S196064372259</t>
  </si>
  <si>
    <t>Canada Weather Gear Women's Eddie Clog Shoes Black / 8</t>
  </si>
  <si>
    <t>S196064372266</t>
  </si>
  <si>
    <t>Canada Weather Gear Women's Eddie Clog Shoes Black / 9</t>
  </si>
  <si>
    <t>S196064372273</t>
  </si>
  <si>
    <t>Canada Weather Gear Women's Eddie Clog Shoes Chestnut / 11</t>
  </si>
  <si>
    <t>S196064372419</t>
  </si>
  <si>
    <t>https://cdn.shopify.com/s/files/1/0471/0885/files/CanadaWeatherGearWomen_sEddieClogShoes_Chestnut-1.jpg?v=1724254018</t>
  </si>
  <si>
    <t>Canada Weather Gear Women's Eddie Clog Shoes Chestnut / 7</t>
  </si>
  <si>
    <t>S196064372372</t>
  </si>
  <si>
    <t>Canada Weather Gear Women's Eddie Clog Shoes Chestnut / 8</t>
  </si>
  <si>
    <t>S196064372389</t>
  </si>
  <si>
    <t>Canada Weather Gear Women's Eddie Clog Shoes Chestnut / 9</t>
  </si>
  <si>
    <t>S196064372396</t>
  </si>
  <si>
    <t>Canada Weather Gear Women's Fleece Cardigan Aztec / L</t>
  </si>
  <si>
    <t>S791390521076</t>
  </si>
  <si>
    <t>https://cdn.shopify.com/s/files/1/0471/0885/products/791390521069-jpg-1.jpg?v=1714844046</t>
  </si>
  <si>
    <t>Aztec</t>
  </si>
  <si>
    <t>CWG883Y3405</t>
  </si>
  <si>
    <t>Sweaters &amp; Cardigans</t>
  </si>
  <si>
    <t>Canada Weather Gear Women's Fleece Cardigan Aztec / M</t>
  </si>
  <si>
    <t>S791390521069</t>
  </si>
  <si>
    <t>Canada Weather Gear Women's Fleece Cardigan Aztec / S</t>
  </si>
  <si>
    <t>S791390521007</t>
  </si>
  <si>
    <t>Canada Weather Gear Women's Full Zip Puffer Jacket with Sweater Sleeves Black / L</t>
  </si>
  <si>
    <t>S198524013573</t>
  </si>
  <si>
    <t>https://cdn.shopify.com/s/files/1/0471/0885/files/CanadaWeatherGearWomen_sFullZipPufferJacketwithSweaterSleeves_Black-1.jpg?v=1725909500</t>
  </si>
  <si>
    <t>43001CBK</t>
  </si>
  <si>
    <t>Canada Weather Gear Women's Full Zip Puffer Jacket with Sweater Sleeves Black / M</t>
  </si>
  <si>
    <t>S198524013566</t>
  </si>
  <si>
    <t>Canada Weather Gear Women's Full Zip Puffer Jacket with Sweater Sleeves Black / S</t>
  </si>
  <si>
    <t>S198524013559</t>
  </si>
  <si>
    <t>Canada Weather Gear Women's Full Zip Puffer Jacket with Sweater Sleeves Black / XL</t>
  </si>
  <si>
    <t>S198524013580</t>
  </si>
  <si>
    <t>Canada Weather Gear Men's 4-Pocket Puffer Vest Northern Night / 2XL</t>
  </si>
  <si>
    <t>S196730072988</t>
  </si>
  <si>
    <t>https://cdn.shopify.com/s/files/1/0471/0885/products/196730072964_Canada-Weather-Gear-Men_s-4-Pocket-Puffer-Vest-Northern-Night.jpg?v=1717256956</t>
  </si>
  <si>
    <t>Northern Night</t>
  </si>
  <si>
    <t>OMCW387</t>
  </si>
  <si>
    <t>Canada Weather Gear Men's 4-Pocket Puffer Vest Northern Night / L</t>
  </si>
  <si>
    <t>S196730072964</t>
  </si>
  <si>
    <t>OMCW387PZ</t>
  </si>
  <si>
    <t>Canada Weather Gear Men's 4-Pocket Puffer Vest Northern Night / M</t>
  </si>
  <si>
    <t>S196730072957</t>
  </si>
  <si>
    <t>Canada Weather Gear Men's 4-Pocket Puffer Vest Northern Night / XL</t>
  </si>
  <si>
    <t>S196730072971</t>
  </si>
  <si>
    <t>Canada Weather Gear Men's Mix Media Puffer Black/Black / XL</t>
  </si>
  <si>
    <t>S886785698713</t>
  </si>
  <si>
    <t>https://cdn.shopify.com/s/files/1/0471/0885/products/886785698690_Canada-Weather-Gear-Men_s-Mix-Media-Puffer-Black-Black.jpg?v=1717256911</t>
  </si>
  <si>
    <t>Black/Black</t>
  </si>
  <si>
    <t>OMCW378PZ</t>
  </si>
  <si>
    <t>Canada Weather Gear Men's Mix Media Puffer Charcoal/Black / L</t>
  </si>
  <si>
    <t>S886785698744</t>
  </si>
  <si>
    <t>https://cdn.shopify.com/s/files/1/0471/0885/products/886785698737_Canada-Weather-Gear-Men_s-Mix-Media-Puffer-Charcoal-Black.jpg?v=1717256920</t>
  </si>
  <si>
    <t>Charcoal/Black</t>
  </si>
  <si>
    <t>Canada Weather Gear Men's Mix Media Puffer Charcoal/Black / XL</t>
  </si>
  <si>
    <t>S886785698751</t>
  </si>
  <si>
    <t>Canada Weather Gear Men's Mix Media Puffer Inferno Red/Black / 2XL</t>
  </si>
  <si>
    <t>S196730008871</t>
  </si>
  <si>
    <t>https://cdn.shopify.com/s/files/1/0471/0885/products/196730008840_Canada-Weather-Gear-Men_s-Mix-Media-Puffer-Inferno-Red-Black.jpg?v=1717256907</t>
  </si>
  <si>
    <t>Inferno Red/Black</t>
  </si>
  <si>
    <t>OMCW378</t>
  </si>
  <si>
    <t>Canada Weather Gear Men's Mix Media Puffer Inferno Red/Black / L</t>
  </si>
  <si>
    <t>S196730008857</t>
  </si>
  <si>
    <t>Canada Weather Gear Men's Mix Media Puffer Inferno Red/Black / XL</t>
  </si>
  <si>
    <t>S196730008864</t>
  </si>
  <si>
    <t>Canada Weather Gear Men's Mix Media Puffer Northern Night/Black / 2XL</t>
  </si>
  <si>
    <t>S196730008833</t>
  </si>
  <si>
    <t>https://cdn.shopify.com/s/files/1/0471/0885/products/196730008802_Canada-Weather-Gear-Men_s-Mix-Media-Puffer-Northern-Night-Black.jpg?v=1717256895</t>
  </si>
  <si>
    <t>Northern Night/Black</t>
  </si>
  <si>
    <t>Canada Weather Gear Men's Mix Media Puffer Northern Night/Black / L</t>
  </si>
  <si>
    <t>S196730008819</t>
  </si>
  <si>
    <t>Canada Weather Gear Men's Mix Media Puffer Northern Night/Black / M</t>
  </si>
  <si>
    <t>S196730008802</t>
  </si>
  <si>
    <t>Canada Weather Gear Men's Mix Media Puffer Northern Night/Black / XL</t>
  </si>
  <si>
    <t>S196730008826</t>
  </si>
  <si>
    <t>Canada Weather Gear Men's Puffer Vest Black / XL</t>
  </si>
  <si>
    <t>S886785541446</t>
  </si>
  <si>
    <t>https://cdn.shopify.com/s/files/1/0471/0885/products/s886785541460par_canada_20weather_20gear_20men_27s_20puffer_20vest_20black-1_723aed64-110f-4004-813d-de212322560a.jpg?v=1708941207</t>
  </si>
  <si>
    <t>OMCW303</t>
  </si>
  <si>
    <t>Canada Weather Gear Men's Puffer Vest Brick / L</t>
  </si>
  <si>
    <t>S886785541477</t>
  </si>
  <si>
    <t>https://cdn.shopify.com/s/files/1/0471/0885/products/s886785541460par_canada_20weather_20gear_20men_27s_20puffer_20vest_20bricki-1.jpg?v=1708941210</t>
  </si>
  <si>
    <t>Brick</t>
  </si>
  <si>
    <t>Canada Weather Gear Men's Puffer Vest Brick / XL</t>
  </si>
  <si>
    <t>S886785541484</t>
  </si>
  <si>
    <t>Canada Weather Gear Men's Puffer Vest Charcoal / L</t>
  </si>
  <si>
    <t>S886785541514</t>
  </si>
  <si>
    <t>https://cdn.shopify.com/s/files/1/0471/0885/products/s886785541460par_canada_20weather_20gear_20men_27s_20puffer_20vest_20charcoal-1.jpg?v=1708941213</t>
  </si>
  <si>
    <t>Charcoal</t>
  </si>
  <si>
    <t>Canada Weather Gear Men's Puffer Vest Charcoal / XL</t>
  </si>
  <si>
    <t>S886785541521</t>
  </si>
  <si>
    <t>Canada Weather Gear Men's Puffer Vest Oak / L</t>
  </si>
  <si>
    <t>S886785541552</t>
  </si>
  <si>
    <t>https://cdn.shopify.com/s/files/1/0471/0885/products/S886785541545-jpg-7.jpg?v=1708941246</t>
  </si>
  <si>
    <t>Oak</t>
  </si>
  <si>
    <t>Canada Weather Gear Men's Puffer Vest Oak / M</t>
  </si>
  <si>
    <t>S886785541545</t>
  </si>
  <si>
    <t>Canada Weather Gear Men's Puffer Vest Oak / XL</t>
  </si>
  <si>
    <t>S886785541569</t>
  </si>
  <si>
    <t>Canada Weather Gear Women's Long Puffer Black / M</t>
  </si>
  <si>
    <t>S886785703066</t>
  </si>
  <si>
    <t>https://cdn.shopify.com/s/files/1/0471/0885/products/886785703073_Canada-Weather-Gear-Women_s-Long-Puffer-Black-Black.jpg?v=1717256785</t>
  </si>
  <si>
    <t>OLCW846PZ</t>
  </si>
  <si>
    <t>Canada Weather Gear Women's Long Puffer Black / S</t>
  </si>
  <si>
    <t>S886785703059</t>
  </si>
  <si>
    <t>Canada Weather Gear Women's Long Puffer Cranberry/Natural / L</t>
  </si>
  <si>
    <t>S886785703110</t>
  </si>
  <si>
    <t>https://cdn.shopify.com/s/files/1/0471/0885/products/886785703097_Canada-Weather-Gear-Women_s-Long-Puffer-Cranberry-Natural.jpg?v=1736284307</t>
  </si>
  <si>
    <t>Cranberry/Natural</t>
  </si>
  <si>
    <t>Canada Weather Gear Women's Long Puffer Cranberry/Natural / M</t>
  </si>
  <si>
    <t>S886785703103</t>
  </si>
  <si>
    <t>Canada Weather Gear Women's Long Puffer Cranberry/Natural / S</t>
  </si>
  <si>
    <t>S886785703097</t>
  </si>
  <si>
    <t>Canada Weather Gear Women's Long Puffer Sand/Natural / L</t>
  </si>
  <si>
    <t>S886785703158</t>
  </si>
  <si>
    <t>https://cdn.shopify.com/s/files/1/0471/0885/products/886785703134_Canada-Weather-Gear-Women_s-Long-Puffer-Sand-Natural.jpg?v=1736284307</t>
  </si>
  <si>
    <t>Sand/Natural</t>
  </si>
  <si>
    <t>Canada Weather Gear Women's Long Puffer Sand/Natural / M</t>
  </si>
  <si>
    <t>S886785703141</t>
  </si>
  <si>
    <t>Canada Weather Gear Women's Puffer Vest with Faux Fur Trim Hood Olive / M</t>
  </si>
  <si>
    <t>S196730076511</t>
  </si>
  <si>
    <t>https://cdn.shopify.com/s/files/1/0471/0885/products/196730076504_Canada-Weather-Gear-Women_s-Puffer-Vest-with-Faux-Fur-Trim-Hood-Olive.jpg?v=1717253934</t>
  </si>
  <si>
    <t>Olive</t>
  </si>
  <si>
    <t>Canada Weather Gear Women's Puffer Vest with Faux Fur Trim Hood Olive / S</t>
  </si>
  <si>
    <t>S196730076504</t>
  </si>
  <si>
    <t>Canada Weather Gear Women's Puffer Vest with Faux Fur Trim Hood Peacock / L</t>
  </si>
  <si>
    <t>S196730076603</t>
  </si>
  <si>
    <t>https://cdn.shopify.com/s/files/1/0471/0885/products/196730076580_Canada-Weather-Gear-Women_s-Puffer-Vest-with-Faux-Fur-Trim-Hood-Peacock.jpg?v=1736284255</t>
  </si>
  <si>
    <t>Peacock</t>
  </si>
  <si>
    <t>Canada Weather Gear Women's Puffer Vest with Faux Fur Trim Hood Peacock / M</t>
  </si>
  <si>
    <t>S196730076597</t>
  </si>
  <si>
    <t>Canada Weather Gear Women's Puffer Vest with Faux Fur Trim Hood Pink Haze / L</t>
  </si>
  <si>
    <t>S196730076566</t>
  </si>
  <si>
    <t>Canada Weather Gear Women's Long Puffer with Sherpa Lined Hood Blackberry Wine / L</t>
  </si>
  <si>
    <t>S886785685676</t>
  </si>
  <si>
    <t>https://cdn.shopify.com/s/files/1/0471/0885/products/886785685652_Canada-Weather-Gear-Women_s-2-in-1-System-Long-Puffer-Blackberry-Wine.jpg?v=1717253885</t>
  </si>
  <si>
    <t>Blackberry Wine</t>
  </si>
  <si>
    <t>OLCW843PZ</t>
  </si>
  <si>
    <t>Canada Weather Gear Women's Long Puffer with Sherpa Lined Hood Blackberry Wine / M</t>
  </si>
  <si>
    <t>S886785685669</t>
  </si>
  <si>
    <t>Canada Weather Gear Women's Long Puffer with Sherpa Lined Hood Blackberry Wine / S</t>
  </si>
  <si>
    <t>S886785685652</t>
  </si>
  <si>
    <t>Canada Weather Gear Women's Long Puffer with Faux Fur Trim Hood Dusty Rose / L</t>
  </si>
  <si>
    <t>S196730075880</t>
  </si>
  <si>
    <t>https://cdn.shopify.com/s/files/1/0471/0885/products/196730075866_Canada-Weather-Gear-Women_s-Long-Puffer-with-Faux-Fur-Trim-Hood-Dusty-Rose.jpg?v=1717253860</t>
  </si>
  <si>
    <t>Dusty Rose</t>
  </si>
  <si>
    <t>Canada Weather Gear Women's Long Puffer with Faux Fur Trim Hood Dusty Rose / M</t>
  </si>
  <si>
    <t>S196730075873</t>
  </si>
  <si>
    <t>Canada Weather Gear Women's Long Puffer with Faux Fur Trim Hood Dusty Rose / S</t>
  </si>
  <si>
    <t>S196730075866</t>
  </si>
  <si>
    <t>Canada Weather Gear Women's Long Puffer with Faux Fur Trim Hood Pecan / L</t>
  </si>
  <si>
    <t>S196730075842</t>
  </si>
  <si>
    <t>https://cdn.shopify.com/s/files/1/0471/0885/products/196730075828_Canada-Weather-Gear-Women_s-Long-Puffer-with-Faux-Fur-Trim-Hood-Pecan.jpg?v=1717253830</t>
  </si>
  <si>
    <t>Pecan</t>
  </si>
  <si>
    <t>Canada Weather Gear Women's Long Puffer with Faux Fur Trim Hood Pecan / M</t>
  </si>
  <si>
    <t>S196730075835</t>
  </si>
  <si>
    <t>Canada Weather Gear Women's Long Puffer with Faux Fur Trim Hood Pecan / S</t>
  </si>
  <si>
    <t>S196730075828</t>
  </si>
  <si>
    <t>Canada Weather Gear Men's Snorkel Parka Puffer Jacket Black / L</t>
  </si>
  <si>
    <t>S196730020217</t>
  </si>
  <si>
    <t>https://cdn.shopify.com/s/files/1/0471/0885/products/196730020200_Canada-Weather-Gear-Men_s-Snorkle-Parka-Puffer-Jacket-Black.jpg?v=1717256287</t>
  </si>
  <si>
    <t>OMCW360</t>
  </si>
  <si>
    <t>Canada Weather Gear Men's Snorkel Parka Puffer Jacket Black / XL</t>
  </si>
  <si>
    <t>S196730020224</t>
  </si>
  <si>
    <t>Canada Weather Gear Men's 4-Pocket Puffer Vest Black / L</t>
  </si>
  <si>
    <t>S196730072926</t>
  </si>
  <si>
    <t>https://cdn.shopify.com/s/files/1/0471/0885/products/196730072926_Canada-Weather-Gear-Men_s-4-Pocket-Puffer-Vest-Black.jpg?v=1717256932</t>
  </si>
  <si>
    <t>Canada Weather Gear Men's 4-Pocket Puffer Vest Black / XL</t>
  </si>
  <si>
    <t>S196730072933</t>
  </si>
  <si>
    <t>Canada Weather Gear Men's 4-Pocket Puffer Vest Oak / 2XL</t>
  </si>
  <si>
    <t>S196730073022</t>
  </si>
  <si>
    <t>https://cdn.shopify.com/s/files/1/0471/0885/products/196730072995_Canada-Weather-Gear-Men_s-4-Pocket-Puffer-Vest-Oak.jpg?v=1717256947</t>
  </si>
  <si>
    <t>Canada Weather Gear Men's Fur Hooded Puffer Jacket Charcoal / M</t>
  </si>
  <si>
    <t>S886785678364</t>
  </si>
  <si>
    <t>OMCW367</t>
  </si>
  <si>
    <t>Canada Weather Gear Men's Fur Hooded Puffer Jacket Charcoal / XL</t>
  </si>
  <si>
    <t>S886785678388</t>
  </si>
  <si>
    <t>https://cdn.shopify.com/s/files/1/0471/0885/products/886785678371_Canada-Weather-Gear-Men_s-Fur-Hooded-Puffer-Jacket-Charcoal.jpg?v=1717256248</t>
  </si>
  <si>
    <t>Canada Weather Gear Men's 4-Pocket Puffer Vest Oak / M</t>
  </si>
  <si>
    <t>S196730072995</t>
  </si>
  <si>
    <t>Canada Weather Gear Men's 4-Pocket Puffer Vest Oak / XL</t>
  </si>
  <si>
    <t>S196730073015</t>
  </si>
  <si>
    <t>Canada Weather Gear Women's Jacket OLCW824H Pink Haze Natural / M</t>
  </si>
  <si>
    <t>S886785664329</t>
  </si>
  <si>
    <t>Pink Haze Natural</t>
  </si>
  <si>
    <t>OLCW824H</t>
  </si>
  <si>
    <t>Canada Weather Gear Women's Long Puffer with Faux Fur and Sherpa Lined Hood Blackberry/Natural / M</t>
  </si>
  <si>
    <t>S196730047399</t>
  </si>
  <si>
    <t>https://cdn.shopify.com/s/files/1/0471/0885/products/196730047382_Canada-Weather-Gear-Women_s-Long-Puffer-with-Faux-Fur-and-Sherpa-Lined-Hood-Blackberry-..-copy-_1.jpg?v=1736283270</t>
  </si>
  <si>
    <t>Blackberry/Natural</t>
  </si>
  <si>
    <t>OLCW824PZ</t>
  </si>
  <si>
    <t>Canada Weather Gear Women's Long Puffer with Faux Fur and Sherpa Lined Hood Blackberry/Natural / S</t>
  </si>
  <si>
    <t>S196730047382</t>
  </si>
  <si>
    <t>Canada Weather Gear Women's Long Puffer with Faux Fur and Sherpa Lined Hood Peacock/Natural / M</t>
  </si>
  <si>
    <t>S196730047436</t>
  </si>
  <si>
    <t>https://cdn.shopify.com/s/files/1/0471/0885/products/196730047436_Canada-Weather-Gear-Women_s-Long-Puffer-with-Faux-Fur-and-Sherpa-Lined-Hood-Peacock-Nat..-copy-_1.jpg?v=1717254038</t>
  </si>
  <si>
    <t>Peacock/Natural</t>
  </si>
  <si>
    <t>Canada Weather Gear Women's Long Puffer with Faux Fur and Sherpa Lined Hood Pink Haze/Natural / L</t>
  </si>
  <si>
    <t>S196730047320</t>
  </si>
  <si>
    <t>Pink Haze/Natural</t>
  </si>
  <si>
    <t>Canada Weather Gear Women's Long Puffer with Faux Fur and Sherpa Lined Hood Pink Haze/Natural / M</t>
  </si>
  <si>
    <t>S196730047313</t>
  </si>
  <si>
    <t>https://cdn.shopify.com/s/files/1/0471/0885/products/196730047313_Canada-Weather-Gear-Women_s-Long-Puffer-with-Faux-Fur-and-Sherpa-Lined-Hood-Pink-Haze-N.jpg?v=1717254023</t>
  </si>
  <si>
    <t>Canada Weather Gear Women's Long Puffer with Faux Fur and Sherpa Lined Hood Red/Natural / L</t>
  </si>
  <si>
    <t>S196730047368</t>
  </si>
  <si>
    <t>https://cdn.shopify.com/s/files/1/0471/0885/products/196730047375_Canada-Weather-Gear-Women_s-Long-Puffer-with-Faux-Fur-and-Sherpa-Lined-Hood-Red-Natural..-copy-_1.jpg?v=1717254035</t>
  </si>
  <si>
    <t>Red/Natural</t>
  </si>
  <si>
    <t>Canada Weather Gear Women's Long Puffer with Faux Fur and Sherpa Lined Hood Red/Natural / S</t>
  </si>
  <si>
    <t>S196730047344</t>
  </si>
  <si>
    <t>Corkcicle Arctican Snow Leopard / O/S</t>
  </si>
  <si>
    <t>S810040310058</t>
  </si>
  <si>
    <t>https://cdn.shopify.com/s/files/1/0471/0885/products/3101PSL.jpg?v=1721744878</t>
  </si>
  <si>
    <t>CORKCICLE.</t>
  </si>
  <si>
    <t>Snow Leopard</t>
  </si>
  <si>
    <t>O/S</t>
  </si>
  <si>
    <t>3101PSL</t>
  </si>
  <si>
    <t>Coozies</t>
  </si>
  <si>
    <t>Corkcicle Arctican Woodland Camo / O/S</t>
  </si>
  <si>
    <t>S810005619455</t>
  </si>
  <si>
    <t>https://cdn.shopify.com/s/files/1/0471/0885/products/3101PWC-2.jpg?v=1721744884</t>
  </si>
  <si>
    <t>Woodland Camo</t>
  </si>
  <si>
    <t>3101PWC</t>
  </si>
  <si>
    <t>Corkcicle Slim Arctican Nebula / 12 oz</t>
  </si>
  <si>
    <t>S810040310409</t>
  </si>
  <si>
    <t>https://cdn.shopify.com/s/files/1/0471/0885/products/3201chn.jpg?v=1721744902</t>
  </si>
  <si>
    <t>Nebula</t>
  </si>
  <si>
    <t>12 oz</t>
  </si>
  <si>
    <t>3201CHN</t>
  </si>
  <si>
    <t>Corkcicle Slim Arctican Woodland Camo / 12 oz</t>
  </si>
  <si>
    <t>S810005619479</t>
  </si>
  <si>
    <t>https://cdn.shopify.com/s/files/1/0471/0885/products/3201PWC-1.jpg?v=1721744890</t>
  </si>
  <si>
    <t>3201PWC</t>
  </si>
  <si>
    <t>Name</t>
  </si>
  <si>
    <t>Barcode</t>
  </si>
  <si>
    <t>SKU</t>
  </si>
  <si>
    <t>Image URL</t>
  </si>
  <si>
    <t>Brand</t>
  </si>
  <si>
    <t>Color</t>
  </si>
  <si>
    <t>Size</t>
  </si>
  <si>
    <t>Part Number</t>
  </si>
  <si>
    <t>Gender</t>
  </si>
  <si>
    <t>Category</t>
  </si>
  <si>
    <t>Stock</t>
  </si>
  <si>
    <t>MRSP</t>
  </si>
  <si>
    <t>MRSP Ext</t>
  </si>
  <si>
    <t>adidas Girl's Adicolor Leggings Black / L</t>
  </si>
  <si>
    <t>S95737514583</t>
  </si>
  <si>
    <t>https://cdn.shopify.com/s/files/1/0471/0885/files/195737514606-1.jpg?v=1691533296</t>
  </si>
  <si>
    <t>adidas</t>
  </si>
  <si>
    <t>Black</t>
  </si>
  <si>
    <t>L</t>
  </si>
  <si>
    <t>HE4777</t>
  </si>
  <si>
    <t>Girls</t>
  </si>
  <si>
    <t>Leggings &amp; Tights</t>
  </si>
  <si>
    <t>adidas Men's Essentials 3-Stripe Shorts Collegiate Royal / Collegiate Royal / Grey / S</t>
  </si>
  <si>
    <t>S888593037593</t>
  </si>
  <si>
    <t>https://cdn.shopify.com/s/files/1/0471/0885/files/adidasMen_sEssentials3-StripeShorts_Royal-2.jpg?v=1723580705</t>
  </si>
  <si>
    <t>Collegiate Royal / Collegiate Royal / Grey</t>
  </si>
  <si>
    <t>S</t>
  </si>
  <si>
    <t>Mens</t>
  </si>
  <si>
    <t>Shorts</t>
  </si>
  <si>
    <t>adidas Men's Essentials 3-Stripe Shorts Dark Onyx / Tech Grey / L</t>
  </si>
  <si>
    <t>S887778760486</t>
  </si>
  <si>
    <t>https://cdn.shopify.com/s/files/1/0471/0885/files/adidasMen_sEssentials3-StripeShorts_Onyx-2.jpg?v=1723580705</t>
  </si>
  <si>
    <t>Dark Onyx / Tech Grey</t>
  </si>
  <si>
    <t>adidas Men's Duramo Shoe Black / 8.5</t>
  </si>
  <si>
    <t>S195733831547</t>
  </si>
  <si>
    <t>https://cdn.shopify.com/s/files/1/0471/0885/files/adidas-Men_s-Duramo-Shoe_Black-1.png?v=1727207485</t>
  </si>
  <si>
    <t>GW8336</t>
  </si>
  <si>
    <t>Footwear</t>
  </si>
  <si>
    <t>adidas Men's Brushed Terry Heathered Quarter-Zip Pullover Collegiate Royal Heather/ Mid Grey / S</t>
  </si>
  <si>
    <t>S191040253065</t>
  </si>
  <si>
    <t>Collegiate Royal Heather/ Mid Grey</t>
  </si>
  <si>
    <t>A284</t>
  </si>
  <si>
    <t>Half Zip &amp; Quarter Zip</t>
  </si>
  <si>
    <t>adidas Men's Adilette Lite Slide Cloud White / Core Black / Cloud White / 8</t>
  </si>
  <si>
    <t>S4062055569006</t>
  </si>
  <si>
    <t>https://cdn.shopify.com/s/files/1/0471/0885/products/4062055569006_adidas-Men_s-Adilette-Lite-Slides-Cloud-White-Black_65f1bd02-0dc2-4261-a713-3507d6c5b20f.jpg?v=1721777216</t>
  </si>
  <si>
    <t>Cloud White / Core Black / Cloud White</t>
  </si>
  <si>
    <t>FU8297</t>
  </si>
  <si>
    <t>adidas Men's Adilette Lite Slide Cloud White / Core Black / Cloud White / 9</t>
  </si>
  <si>
    <t>S4062055568993</t>
  </si>
  <si>
    <t>adidas Men's Adilette Lite Slide Core Black / Cloud White / Core Black / 10.5</t>
  </si>
  <si>
    <t>S4062055561475</t>
  </si>
  <si>
    <t>https://cdn.shopify.com/s/files/1/0471/0885/products/4062055561437_2edb318b-130c-4366-b02e-8dd278fd549b.jpg?v=1721777232</t>
  </si>
  <si>
    <t>Core Black / Cloud White / Core Black</t>
  </si>
  <si>
    <t>FU8298</t>
  </si>
  <si>
    <t>adidas Men's Adilette Lite Slide Core Black / Cloud White / Core Black / 7.5</t>
  </si>
  <si>
    <t>S4062055561444</t>
  </si>
  <si>
    <t>adidas Men's Adilette Lite Slide Core Black / Cloud White / Core Black / 8.5</t>
  </si>
  <si>
    <t>S4062055561437</t>
  </si>
  <si>
    <t>adidas Women's Adilette Lite Slides Core Black / Core Black / Matte Gold / 5.5</t>
  </si>
  <si>
    <t>S4065419848854</t>
  </si>
  <si>
    <t>https://cdn.shopify.com/s/files/1/0471/0885/products/4065419848847_adidas-Women_s-Adilette-Lite-Slides-Core-Black-Core-Black-Matte-Gold.jpg?v=1721764002</t>
  </si>
  <si>
    <t>Core Black / Core Black / Matte Gold</t>
  </si>
  <si>
    <t>GZ6196</t>
  </si>
  <si>
    <t>Womens</t>
  </si>
  <si>
    <t>adidas Women's Adilette Lite Slides Core Black / Core Black / Matte Gold / 6.5</t>
  </si>
  <si>
    <t>S4065419848847</t>
  </si>
  <si>
    <t>adidas Women's Adilette Lite Slides Core Black / Core Black / Matte Gold / 7.5</t>
  </si>
  <si>
    <t>S4065419852486</t>
  </si>
  <si>
    <t>adidas Women's Adilette Lite Slides Wonder Mauve / Wonder Mauve / Matte Gold / 6.5</t>
  </si>
  <si>
    <t>S4065419852622</t>
  </si>
  <si>
    <t>https://cdn.shopify.com/s/files/1/0471/0885/products/4065419852622_adidas-Women_s-Adilette-Lite-Slides-Wonder-Mauve-Wonder-Mauve-Matte-Gold1.jpg?v=1721763984</t>
  </si>
  <si>
    <t>Wonder Mauve / Wonder Mauve / Matte Gold</t>
  </si>
  <si>
    <t>GZ6198</t>
  </si>
  <si>
    <t>adidas Women's Adilette Lite Slides Wonder Mauve / Wonder Mauve / Matte Gold / 7.5</t>
  </si>
  <si>
    <t>S4065419852615</t>
  </si>
  <si>
    <t>adidas Men's Questar Shoe Grey / 10</t>
  </si>
  <si>
    <t>S194812527227</t>
  </si>
  <si>
    <t>https://cdn.shopify.com/s/files/1/0471/0885/files/adidas-Men_s-Questar-Shoe_Black-1.png?v=1727208674</t>
  </si>
  <si>
    <t>Grey</t>
  </si>
  <si>
    <t>FY5951</t>
  </si>
  <si>
    <t>adidas Men's Questar Shoe Grey / 10.5</t>
  </si>
  <si>
    <t>S194812527265</t>
  </si>
  <si>
    <t>adidas Men's Runfalcon 2.0 Shoe Black / 7.5</t>
  </si>
  <si>
    <t>S194815656313</t>
  </si>
  <si>
    <t>https://cdn.shopify.com/s/files/1/0471/0885/files/adidas-Men_s-Runfalcon-2.0-Shoe_Black-1.png?v=1727209033</t>
  </si>
  <si>
    <t>FY5943</t>
  </si>
  <si>
    <t>adidas Men's Runfalcon 2.0 Shoe Black / 8</t>
  </si>
  <si>
    <t>S194815656399</t>
  </si>
  <si>
    <t>adidas Women's Pure Motion Adapt Shoe Silver / 11</t>
  </si>
  <si>
    <t>S195734939402</t>
  </si>
  <si>
    <t>https://cdn.shopify.com/s/files/1/0471/0885/files/adidasWomen_sPureMotionAdaptShoe_Silver-1.jpg?v=1725474481</t>
  </si>
  <si>
    <t>Silver</t>
  </si>
  <si>
    <t>GZ1050</t>
  </si>
  <si>
    <t>adidas Women's Pure Motion Adapt Shoe Silver / 9</t>
  </si>
  <si>
    <t>S195734943096</t>
  </si>
  <si>
    <t>adidas Men's Originals Nite Jogger Shoes Core White/Metallic Silver/Grey Two / 9.5</t>
  </si>
  <si>
    <t>S4064047378016</t>
  </si>
  <si>
    <t>https://cdn.shopify.com/s/files/1/0471/0885/products/4064047377989_adidas-Men_s-Originals-Nite-Jogger-Shoes-Core-White-Metallic-Silver-Grey-Two.jpg?v=1721765586</t>
  </si>
  <si>
    <t>Core White/Metallic Silver/Grey Two</t>
  </si>
  <si>
    <t>H01712</t>
  </si>
  <si>
    <t>adidas Men's Originals ZX 2K Boost Shoes Core Black/Core Black/Solar Red / 4.5</t>
  </si>
  <si>
    <t>S4062059933315</t>
  </si>
  <si>
    <t>https://cdn.shopify.com/s/files/1/0471/0885/products/4062059929660_adidas-Men_s-Originals-ZX-2K-Boost-Shoes-Core-Black-Core-Black-Solar-Red-1.jpg?v=1721765385</t>
  </si>
  <si>
    <t>Core Black/Core Black/Solar Red</t>
  </si>
  <si>
    <t>FV9997</t>
  </si>
  <si>
    <t>adidas Unisex Adult Running 4DFWD Pulse J Shoes Core Black/Signal Green/Carbon / 3.5</t>
  </si>
  <si>
    <t>S4062064001726</t>
  </si>
  <si>
    <t>https://cdn.shopify.com/s/files/1/0471/0885/products/4062064001757_adidas-Unisex-Adult-Running-4DFWD-Pulse-J-Shoes-Core-Black-Signal-Green-Carbon-1.jpg?v=1721765352</t>
  </si>
  <si>
    <t>Core Black/Signal Green/Carbon</t>
  </si>
  <si>
    <t>H03366</t>
  </si>
  <si>
    <t>Unisex</t>
  </si>
  <si>
    <t>adidas Unisex Adult Running 4DFWD Pulse J Shoes Core Black/Signal Green/Carbon / 4</t>
  </si>
  <si>
    <t>S4062064001740</t>
  </si>
  <si>
    <t>adidas Unisex Adult Running 4DFWD Pulse J Shoes Core Black/Signal Green/Carbon / 4.5</t>
  </si>
  <si>
    <t>S4062064001689</t>
  </si>
  <si>
    <t>adidas Unisex Adult Running 4DFWD Pulse J Shoes Core Black/Signal Green/Carbon / 5</t>
  </si>
  <si>
    <t>S4062064001733</t>
  </si>
  <si>
    <t>adidas Unisex Adult Running 4DFWD Pulse J Shoes Core Black/Signal Green/Carbon / 5.5</t>
  </si>
  <si>
    <t>S4062064001719</t>
  </si>
  <si>
    <t>adidas Unisex Adult Running 4DFWD Pulse J Shoes Core Black/Signal Green/Carbon / 6</t>
  </si>
  <si>
    <t>S4062064001696</t>
  </si>
  <si>
    <t>adidas Unisex Adult Running 4DFWD Pulse J Shoes Core Black/Signal Green/Carbon / 6.5</t>
  </si>
  <si>
    <t>S4062064001702</t>
  </si>
  <si>
    <t>adidas Women's KK X9000 Shoes Wonder Mauve / Ftwr White / Core Black / 5</t>
  </si>
  <si>
    <t>S4065419802320</t>
  </si>
  <si>
    <t>https://cdn.shopify.com/s/files/1/0471/0885/products/4065419802313_adidas-Women_s-KK-X9000-Shoes-Wonder-Mauve-Ftwr-White-Core-Black.jpg?v=1721763975</t>
  </si>
  <si>
    <t>Wonder Mauve / Ftwr White / Core Black</t>
  </si>
  <si>
    <t>GY0859</t>
  </si>
  <si>
    <t>adidas Women's KK X9000 Shoes Wonder Mauve / Ftwr White / Core Black / 5.5</t>
  </si>
  <si>
    <t>S4065419802306</t>
  </si>
  <si>
    <t>adidas Women's KK X9000 Shoes Wonder Mauve / Ftwr White / Core Black / 6</t>
  </si>
  <si>
    <t>S4065419802399</t>
  </si>
  <si>
    <t>adidas Women's KK X9000 Shoes Wonder Mauve / Ftwr White / Core Black / 7</t>
  </si>
  <si>
    <t>S4065419802382</t>
  </si>
  <si>
    <t>adidas Women's KK X9000 Shoes Wonder Mauve / Ftwr White / Core Black / 7.5</t>
  </si>
  <si>
    <t>S4065419802344</t>
  </si>
  <si>
    <t>adidas Women's X9000L4 HEAT.RDY Shoes Cblack/Cblack/Almpnk / 5</t>
  </si>
  <si>
    <t>S4065419831566</t>
  </si>
  <si>
    <t>https://cdn.shopify.com/s/files/1/0471/0885/products/4065419835199_adidas-Women_s-X9000L4-HEATRDY-Shoes-Cblack-Cblack-Almpnk.jpg?v=1721764034</t>
  </si>
  <si>
    <t>Cblack/Cblack/Almpnk</t>
  </si>
  <si>
    <t>GZ3247</t>
  </si>
  <si>
    <t>adidas Women's X9000L4 HEAT.RDY Shoes Cblack/Cblack/Almpnk / 5.5</t>
  </si>
  <si>
    <t>S4065419831535</t>
  </si>
  <si>
    <t>adidas Women's X9000L4 HEAT.RDY Shoes Cblack/Cblack/Almpnk / 6</t>
  </si>
  <si>
    <t>S4065419831528</t>
  </si>
  <si>
    <t>adidas Women's X9000L4 HEAT.RDY Shoes Cblack/Cblack/Almpnk / 6.5</t>
  </si>
  <si>
    <t>S4065419835199</t>
  </si>
  <si>
    <t>adidas Women's X9000L4 HEAT.RDY Shoes Cblack/Cblack/Almpnk / 7</t>
  </si>
  <si>
    <t>S4065419831542</t>
  </si>
  <si>
    <t>adidas Women's X9000L4 HEAT.RDY Shoes Cblack/Cblack/Almpnk / 7.5</t>
  </si>
  <si>
    <t>S4065419831450</t>
  </si>
  <si>
    <t>adidas Youth Stan Smith J Shoes Cloud White / Cloud White / Green / B 4 / G 5</t>
  </si>
  <si>
    <t>S4064037256607</t>
  </si>
  <si>
    <t>https://cdn.shopify.com/s/files/1/0471/0885/products/4064037256638.jpg?v=1721764062</t>
  </si>
  <si>
    <t>Cloud White / Cloud White / Green</t>
  </si>
  <si>
    <t>B 4 / G 5</t>
  </si>
  <si>
    <t>FX7519</t>
  </si>
  <si>
    <t>Unisex Kids</t>
  </si>
  <si>
    <t>adidas Youth Stan Smith J Shoes Cloud White / Cloud White / Green / B 4.5 / G 5.5</t>
  </si>
  <si>
    <t>S4064037252975</t>
  </si>
  <si>
    <t>B 4.5 / G 5.5</t>
  </si>
  <si>
    <t>adidas Youth Stan Smith J Shoes Cloud White / Cloud White / Green / B 5 / G 6</t>
  </si>
  <si>
    <t>S4064037256638</t>
  </si>
  <si>
    <t>B 5 / G 6</t>
  </si>
  <si>
    <t>adidas Youth Stan Smith J Shoes Cloud White / Cloud White / Green / B 5.5 / G 6.5</t>
  </si>
  <si>
    <t>S4064037252999</t>
  </si>
  <si>
    <t>B 5.5 / G 6.5</t>
  </si>
  <si>
    <t>adidas Youth Stan Smith J Shoes Cloud White / Cloud White / Green / B 6 / G 7</t>
  </si>
  <si>
    <t>S4064037256614</t>
  </si>
  <si>
    <t>B 6 / G 7</t>
  </si>
  <si>
    <t>adidas Youth Stan Smith J Shoes Cloud White / Cloud White / Green / B 6.5 / G 7.5</t>
  </si>
  <si>
    <t>S4064037256621</t>
  </si>
  <si>
    <t>B 6.5 / G 7.5</t>
  </si>
  <si>
    <t>adidas Youth Stan Smith J Shoes Cloud White / Cloud White / Silver Metallic / B 4 / G 5</t>
  </si>
  <si>
    <t>S4064037252876</t>
  </si>
  <si>
    <t>https://cdn.shopify.com/s/files/1/0471/0885/products/4064037252807.jpg?v=1721764068</t>
  </si>
  <si>
    <t>Cloud White / Cloud White / Silver Metallic</t>
  </si>
  <si>
    <t>FX7521</t>
  </si>
  <si>
    <t>adidas Youth Stan Smith J Shoes Cloud White / Cloud White / Silver Metallic / B 4.5 / G 5.5</t>
  </si>
  <si>
    <t>S4064037252852</t>
  </si>
  <si>
    <t>adidas Youth Stan Smith J Shoes Cloud White / Cloud White / Silver Metallic / B 5 / G 6</t>
  </si>
  <si>
    <t>S4064037252821</t>
  </si>
  <si>
    <t>adidas Youth Stan Smith J Shoes Cloud White / Cloud White / Silver Metallic / B 5.5 / G 6.5</t>
  </si>
  <si>
    <t>S4064037252807</t>
  </si>
  <si>
    <t>adidas Youth Stan Smith J Shoes Cloud White / Cloud White / Silver Metallic / B 6 / G 7</t>
  </si>
  <si>
    <t>S4064037252814</t>
  </si>
  <si>
    <t>adidas Youth Stan Smith J Shoes Cloud White / Cloud White / Silver Metallic / B 6.5 / G 7.5</t>
  </si>
  <si>
    <t>S4064037252845</t>
  </si>
  <si>
    <t>adidas Youth Superstar J Sneakers Cloud White / Cloud White / Cloud White / B 3.5 / G 4.5</t>
  </si>
  <si>
    <t>S4062052492376</t>
  </si>
  <si>
    <t>https://cdn.shopify.com/s/files/1/0471/0885/products/4062052492390_adidas-Youth-Superstar-J-Sneakers-Cloud-White-Cloud-White-Cloud-White.jpg?v=1721764008</t>
  </si>
  <si>
    <t>Cloud White / Cloud White / Cloud White</t>
  </si>
  <si>
    <t>B 3.5 / G 4.5</t>
  </si>
  <si>
    <t>EF5399</t>
  </si>
  <si>
    <t>adidas Youth Superstar J Sneakers Cloud White / Cloud White / Cloud White / B 4 / G 5</t>
  </si>
  <si>
    <t>S4062052492444</t>
  </si>
  <si>
    <t>adidas Youth Superstar J Sneakers Cloud White / Cloud White / Cloud White / B 4.5 / G 5.5</t>
  </si>
  <si>
    <t>S4062052492383</t>
  </si>
  <si>
    <t>adidas Youth Superstar J Sneakers Cloud White / Cloud White / Cloud White / B 5 / G 6</t>
  </si>
  <si>
    <t>S4062052492390</t>
  </si>
  <si>
    <t>adidas Youth Superstar J Sneakers Cloud White / Cloud White / Cloud White / B 5.5 / G 6.5</t>
  </si>
  <si>
    <t>S4062052492406</t>
  </si>
  <si>
    <t>adidas Youth Superstar J Sneakers Cloud White / Cloud White / Cloud White / B 6 / G 7</t>
  </si>
  <si>
    <t>S4062052492413</t>
  </si>
  <si>
    <t>adidas Youth Superstar J Sneakers Cloud White / Cloud White / Cloud White / B 6.5 / G 7.5</t>
  </si>
  <si>
    <t>S4062052492420</t>
  </si>
  <si>
    <t>allbirds Women's Natural Flow Legging Green Hush / 2XL</t>
  </si>
  <si>
    <t>S840218937701</t>
  </si>
  <si>
    <t>https://cdn.shopify.com/s/files/1/0471/0885/files/allbirds-Women_s-Natural-Flow-Legging_Green-Hush-1.png?v=1736197277</t>
  </si>
  <si>
    <t>allbirds</t>
  </si>
  <si>
    <t>Green Hush</t>
  </si>
  <si>
    <t>2XL</t>
  </si>
  <si>
    <t>AN000LW005</t>
  </si>
  <si>
    <t>allbirds Women's Natural Flow Legging Green Hush / L</t>
  </si>
  <si>
    <t>S840218937688</t>
  </si>
  <si>
    <t>allbirds Women's Natural Flow Legging Green Hush / M</t>
  </si>
  <si>
    <t>S840218937671</t>
  </si>
  <si>
    <t>M</t>
  </si>
  <si>
    <t>AN000LW002</t>
  </si>
  <si>
    <t>allbirds Women's Natural Flow Legging Green Hush / S</t>
  </si>
  <si>
    <t>S840218937664</t>
  </si>
  <si>
    <t>AN000LW001</t>
  </si>
  <si>
    <t>allbirds Women's Natural Flow Legging Green Hush / XL</t>
  </si>
  <si>
    <t>S840218937695</t>
  </si>
  <si>
    <t>XL</t>
  </si>
  <si>
    <t>AN000LW004</t>
  </si>
  <si>
    <t>allbirds Women's Natural Flow Legging Green Hush / XS</t>
  </si>
  <si>
    <t>S840218937657</t>
  </si>
  <si>
    <t>XS</t>
  </si>
  <si>
    <t>AN000LW000</t>
  </si>
  <si>
    <t>Men's Mystery Short Sleeve Assorted / L</t>
  </si>
  <si>
    <t>S731990248904</t>
  </si>
  <si>
    <t>https://cdn.shopify.com/s/files/1/0471/0885/files/MysteryItem-Mens-ShortSleeve.jpg?v=1687794395</t>
  </si>
  <si>
    <t>Assorted</t>
  </si>
  <si>
    <t>Short Sleeves</t>
  </si>
  <si>
    <t>Men's Mystery Long Sleeve Assorted / L</t>
  </si>
  <si>
    <t>S731990240151</t>
  </si>
  <si>
    <t>https://cdn.shopify.com/s/files/1/0471/0885/files/Men_s-Mystery-Long-Sleeve.jpg?v=1696623003</t>
  </si>
  <si>
    <t>Long Sleeves</t>
  </si>
  <si>
    <t>Men's Mystery Long Sleeve Assorted / M</t>
  </si>
  <si>
    <t>S731990240144</t>
  </si>
  <si>
    <t>Men's Mystery Long Sleeve Assorted / S</t>
  </si>
  <si>
    <t>S731990240137</t>
  </si>
  <si>
    <t>Men's Mystery Long Sleeve Assorted / XL</t>
  </si>
  <si>
    <t>S731990240168</t>
  </si>
  <si>
    <t>Women's Mystery Long Sleeve Assorted / L</t>
  </si>
  <si>
    <t>S731990240045</t>
  </si>
  <si>
    <t>https://cdn.shopify.com/s/files/1/0471/0885/files/Women_s-Mystery-Long-Sleeve.jpg?v=1696606894</t>
  </si>
  <si>
    <t>Women's Mystery Long Sleeve Assorted / M</t>
  </si>
  <si>
    <t>S731990240038</t>
  </si>
  <si>
    <t>Women's Mystery Long Sleeve Assorted / S</t>
  </si>
  <si>
    <t>S731990240021</t>
  </si>
  <si>
    <t>Women's Mystery Long Sleeve Assorted / XS</t>
  </si>
  <si>
    <t>S731990240014</t>
  </si>
  <si>
    <t>Mystery Water Bottles Assorted / One Size</t>
  </si>
  <si>
    <t>S731990249000</t>
  </si>
  <si>
    <t>https://cdn.shopify.com/s/files/1/0471/0885/files/MysteryItem-Waterbottles.jpg?v=1687794421</t>
  </si>
  <si>
    <t>One Size</t>
  </si>
  <si>
    <t>Water Bottles</t>
  </si>
  <si>
    <t>Bearpaw Women's Mercedes Sandals Luggage / 5</t>
  </si>
  <si>
    <t>S889918808423</t>
  </si>
  <si>
    <t>https://cdn.shopify.com/s/files/1/0471/0885/files/BearpawWomen_sMercedesSandals_Luggage-1.jpg?v=1710787315</t>
  </si>
  <si>
    <t>Bearpaw</t>
  </si>
  <si>
    <t>Luggage</t>
  </si>
  <si>
    <t>2927W-262</t>
  </si>
  <si>
    <t>Bearpaw Women's Mercedes Sandals Luggage / 6</t>
  </si>
  <si>
    <t>S889918808430</t>
  </si>
  <si>
    <t>Bearpaw Women's Mercedes Sandals Luggage / 7</t>
  </si>
  <si>
    <t>S889918808447</t>
  </si>
  <si>
    <t>Bearpaw Women's Mercedes Sandals Luggage / 8</t>
  </si>
  <si>
    <t>S889918808454</t>
  </si>
  <si>
    <t>Bearpaw Women's Mercedes Sandals Luggage / 9</t>
  </si>
  <si>
    <t>S889918808461</t>
  </si>
  <si>
    <t>Bearpaw Women's Sibyl Sandals Black II / 12</t>
  </si>
  <si>
    <t>S889918861343</t>
  </si>
  <si>
    <t>https://cdn.shopify.com/s/files/1/0471/0885/files/BearpawWomen_sSibylSandals_Black-1.jpg?v=1710787730</t>
  </si>
  <si>
    <t>Black II</t>
  </si>
  <si>
    <t>2968W-011</t>
  </si>
  <si>
    <t>Bearpaw Women's Sibyl Sandals Black II / 7</t>
  </si>
  <si>
    <t>S889918861299</t>
  </si>
  <si>
    <t>Bearpaw Women's Sibyl Sandals Black II / 8</t>
  </si>
  <si>
    <t>S889918861305</t>
  </si>
  <si>
    <t>Bearpaw Women's Sibyl Sandals Black II / 9</t>
  </si>
  <si>
    <t>S889918861312</t>
  </si>
  <si>
    <t>Bearpaw Women's Sibyl Sandals Saddle / 11</t>
  </si>
  <si>
    <t>S889918861411</t>
  </si>
  <si>
    <t>https://cdn.shopify.com/s/files/1/0471/0885/files/BearpawWomen_sSibylSandals_Saddle-1.jpg?v=1710787730</t>
  </si>
  <si>
    <t>Saddle</t>
  </si>
  <si>
    <t>2968W-116</t>
  </si>
  <si>
    <t>Bearpaw Women's Sibyl Sandals Saddle / 5</t>
  </si>
  <si>
    <t>S889918861350</t>
  </si>
  <si>
    <t>Bearpaw Women's Sibyl Sandals Saddle / 7</t>
  </si>
  <si>
    <t>S889918861374</t>
  </si>
  <si>
    <t>Bearpaw Women's Sibyl Sandals Saddle / 8</t>
  </si>
  <si>
    <t>S889918861381</t>
  </si>
  <si>
    <t>Bearpaw Women's Julieta Sandals Black II / 10</t>
  </si>
  <si>
    <t>S889918807754</t>
  </si>
  <si>
    <t>2925W-011</t>
  </si>
  <si>
    <t>Bearpaw Women's Julieta Sandals Black II / 5</t>
  </si>
  <si>
    <t>S889918807709</t>
  </si>
  <si>
    <t>https://cdn.shopify.com/s/files/1/0471/0885/files/BearpawWomen_sJulietaSandals_BlackII-1.jpg?v=1710786110</t>
  </si>
  <si>
    <t>Bearpaw Women's Julieta Sandals Black II / 6</t>
  </si>
  <si>
    <t>S889918807716</t>
  </si>
  <si>
    <t>Bearpaw Women's Julieta Sandals Black II / 7</t>
  </si>
  <si>
    <t>S889918807723</t>
  </si>
  <si>
    <t>Bearpaw Women's Julieta Sandals Saddle / 11</t>
  </si>
  <si>
    <t>S889918807945</t>
  </si>
  <si>
    <t>https://cdn.shopify.com/s/files/1/0471/0885/files/BearpawWomen_sJulietaSandals_Saddle-1.jpg?v=1710786109</t>
  </si>
  <si>
    <t>2925W-116</t>
  </si>
  <si>
    <t>Bearpaw Women's Julieta Sandals Saddle / 12</t>
  </si>
  <si>
    <t>S889918807952</t>
  </si>
  <si>
    <t>Bearpaw Women's Julieta Sandals Saddle / 5</t>
  </si>
  <si>
    <t>S889918807884</t>
  </si>
  <si>
    <t>Bearpaw Women's Julieta Sandals Saddle / 6</t>
  </si>
  <si>
    <t>S889918807891</t>
  </si>
  <si>
    <t>Bearpaw Women's Julieta Sandals Saddle / 7</t>
  </si>
  <si>
    <t>S889918807907</t>
  </si>
  <si>
    <t>Bearpaw Women's Julieta Sandals Saddle / 9</t>
  </si>
  <si>
    <t>S889918807921</t>
  </si>
  <si>
    <t>Bearpaw Women's Julieta Sandals White / 10</t>
  </si>
  <si>
    <t>S889918807662</t>
  </si>
  <si>
    <t>https://cdn.shopify.com/s/files/1/0471/0885/files/BearpawWomen_sJulietaSandals_White-1.jpg?v=1710786110</t>
  </si>
  <si>
    <t>White</t>
  </si>
  <si>
    <t>2925W-010</t>
  </si>
  <si>
    <t>Bearpaw Women's Julieta Sandals White / 11</t>
  </si>
  <si>
    <t>S889918807679</t>
  </si>
  <si>
    <t>Bearpaw Women's Julieta Sandals White / 12</t>
  </si>
  <si>
    <t>S889918807686</t>
  </si>
  <si>
    <t>Bearpaw Women's Julieta Sandals White / 5</t>
  </si>
  <si>
    <t>S889918807617</t>
  </si>
  <si>
    <t>Bearpaw Women's Julieta Sandals White / 6</t>
  </si>
  <si>
    <t>S889918807624</t>
  </si>
  <si>
    <t>Bearpaw Women's Julieta Sandals White / 7</t>
  </si>
  <si>
    <t>S889918807631</t>
  </si>
  <si>
    <t>Bearpaw Women's Julieta Sandals White / 8</t>
  </si>
  <si>
    <t>S889918807648</t>
  </si>
  <si>
    <t>Bearpaw Women's Julieta Sandals White / 9</t>
  </si>
  <si>
    <t>S889918807655</t>
  </si>
  <si>
    <t>Bearpaw Women's Mercedes Sandals Black II / 6</t>
  </si>
  <si>
    <t>S889918808256</t>
  </si>
  <si>
    <t>https://cdn.shopify.com/s/files/1/0471/0885/files/BearpawWomen_sMercedesSandals_Black-1.jpg?v=1710787314</t>
  </si>
  <si>
    <t>2927W-011</t>
  </si>
  <si>
    <t>Bearpaw Women's Mercedes Sandals Black II / 7</t>
  </si>
  <si>
    <t>S889918808263</t>
  </si>
  <si>
    <t>Bearpaw Women's Mercedes Sandals Silver / 11</t>
  </si>
  <si>
    <t>S889918808393</t>
  </si>
  <si>
    <t>https://cdn.shopify.com/s/files/1/0471/0885/files/BearpawWomen_sMercedesSandals_Silver-1.jpg?v=1710787314</t>
  </si>
  <si>
    <t>2927W-019</t>
  </si>
  <si>
    <t>Bearpaw Women's Mercedes Sandals Silver / 12</t>
  </si>
  <si>
    <t>S889918808409</t>
  </si>
  <si>
    <t>Bearpaw Women's Mercedes Sandals Silver / 5</t>
  </si>
  <si>
    <t>S889918808331</t>
  </si>
  <si>
    <t>Bearpaw Women's Mercedes Sandals Silver / 6</t>
  </si>
  <si>
    <t>S889918808348</t>
  </si>
  <si>
    <t>Bearpaw Women's Mercedes Sandals Silver / 7</t>
  </si>
  <si>
    <t>S889918808355</t>
  </si>
  <si>
    <t>Bearpaw Women's Mia Sandals Black II / 5</t>
  </si>
  <si>
    <t>S889918807976</t>
  </si>
  <si>
    <t>https://cdn.shopify.com/s/files/1/0471/0885/files/BearpawWomen_sMiaSandals_Black-1.jpg?v=1710786835</t>
  </si>
  <si>
    <t>2926W-011</t>
  </si>
  <si>
    <t>Bearpaw Women's Mia Sandals Black II / 6</t>
  </si>
  <si>
    <t>S889918807983</t>
  </si>
  <si>
    <t>Bearpaw Women's Mia Sandals Black II / 7</t>
  </si>
  <si>
    <t>S889918807990</t>
  </si>
  <si>
    <t>Bearpaw Women's Mia Sandals Black II / 8</t>
  </si>
  <si>
    <t>S889918808003</t>
  </si>
  <si>
    <t>Bearpaw Women's Mia Sandals Black II / 9</t>
  </si>
  <si>
    <t>S889918808010</t>
  </si>
  <si>
    <t>Bearpaw Women's Rosa Sandals Gunmetal / 11</t>
  </si>
  <si>
    <t>S889918663664</t>
  </si>
  <si>
    <t>https://cdn.shopify.com/s/files/1/0471/0885/files/BearpawWomen_sRosaSandals_Gunmetal-1.jpg?v=1717016063</t>
  </si>
  <si>
    <t>Gunmetal</t>
  </si>
  <si>
    <t>2658W-017</t>
  </si>
  <si>
    <t>Bearpaw Women's Rosa Sandals Gunmetal / 6</t>
  </si>
  <si>
    <t>S889918663619</t>
  </si>
  <si>
    <t>Bearpaw Women's Rosa Sandals Gunmetal / 7</t>
  </si>
  <si>
    <t>S889918663626</t>
  </si>
  <si>
    <t>Bearpaw Women's Rosa Sandals Gunmetal / 9</t>
  </si>
  <si>
    <t>S889918663640</t>
  </si>
  <si>
    <t>Bearpaw Women's Rosa Sandals Luggage / 11</t>
  </si>
  <si>
    <t>S889918615427</t>
  </si>
  <si>
    <t>https://cdn.shopify.com/s/files/1/0471/0885/files/BearpawWomen_sRosaSandals_Luggage-1.jpg?v=1717016062</t>
  </si>
  <si>
    <t>2658W-262</t>
  </si>
  <si>
    <t>Bearpaw Women's Rosa Sandals Luggage / 6</t>
  </si>
  <si>
    <t>S889918615373</t>
  </si>
  <si>
    <t>Bearpaw Women's Rosa Sandals Luggage / 7</t>
  </si>
  <si>
    <t>S889918615380</t>
  </si>
  <si>
    <t>Bearpaw Women's Rosa Sandals Luggage / 9</t>
  </si>
  <si>
    <t>S889918615403</t>
  </si>
  <si>
    <t>Bearpaw Women's Rosa Sandals Saddle / 10</t>
  </si>
  <si>
    <t>S889918663732</t>
  </si>
  <si>
    <t>https://cdn.shopify.com/s/files/1/0471/0885/files/BearpawWomen_sRosaSandals_Saddle-1.jpg?v=1717016063</t>
  </si>
  <si>
    <t>2658W-116</t>
  </si>
  <si>
    <t>Bearpaw Women's Rosa Sandals Saddle / 11</t>
  </si>
  <si>
    <t>S889918663749</t>
  </si>
  <si>
    <t>Bearpaw Women's Rosa Sandals Saddle / 6</t>
  </si>
  <si>
    <t>S889918663695</t>
  </si>
  <si>
    <t>Bearpaw Women's Rosa Sandals Saddle / 8</t>
  </si>
  <si>
    <t>S889918663718</t>
  </si>
  <si>
    <t>Bearpaw Women's Ava Sandals Gunmetal / 10</t>
  </si>
  <si>
    <t>S889918807471</t>
  </si>
  <si>
    <t>https://cdn.shopify.com/s/files/1/0471/0885/files/BearpawWomen_sAvaSandals_Gunmetal-1.jpg?v=1710785508</t>
  </si>
  <si>
    <t>2924W-017</t>
  </si>
  <si>
    <t>Bearpaw Women's Ava Sandals Gunmetal / 11</t>
  </si>
  <si>
    <t>S889918807488</t>
  </si>
  <si>
    <t>Bearpaw Women's Ava Sandals Gunmetal / 6</t>
  </si>
  <si>
    <t>S889918807426</t>
  </si>
  <si>
    <t>Bearpaw Women's Ava Sandals Gunmetal / 7</t>
  </si>
  <si>
    <t>S889918807433</t>
  </si>
  <si>
    <t>Bearpaw Women's Ava Sandals Gunmetal / 8</t>
  </si>
  <si>
    <t>S889918807440</t>
  </si>
  <si>
    <t>Bearpaw Women's Ava Sandals Gunmetal / 9</t>
  </si>
  <si>
    <t>S889918807457</t>
  </si>
  <si>
    <t>Bearpaw Women's Esme Boots Earth / 6</t>
  </si>
  <si>
    <t>S889918689466</t>
  </si>
  <si>
    <t>https://cdn.shopify.com/s/files/1/0471/0885/files/889918689497-1.jpg?v=1700910373</t>
  </si>
  <si>
    <t>Earth</t>
  </si>
  <si>
    <t>2729W</t>
  </si>
  <si>
    <t>Bearpaw Women's Esme Boots Earth / 7</t>
  </si>
  <si>
    <t>S889918689473</t>
  </si>
  <si>
    <t>Bearpaw Women's Esme Boots Earth / 9</t>
  </si>
  <si>
    <t>S889918689497</t>
  </si>
  <si>
    <t>Bearpaw Women's Ximena Sandals Black II / 10</t>
  </si>
  <si>
    <t>S889918859807</t>
  </si>
  <si>
    <t>https://cdn.shopify.com/s/files/1/0471/0885/files/BearpawWomen_sXimenaSandals_Black-1.jpg?v=1717016253</t>
  </si>
  <si>
    <t>2922W-011</t>
  </si>
  <si>
    <t>Bearpaw Women's Ximena Sandals Black II / 7</t>
  </si>
  <si>
    <t>S889918859777</t>
  </si>
  <si>
    <t>Bearpaw Women's Ximena Sandals Black II / 8</t>
  </si>
  <si>
    <t>S889918859784</t>
  </si>
  <si>
    <t>Bearpaw Women's Ximena Sandals Black II / 9</t>
  </si>
  <si>
    <t>S889918859791</t>
  </si>
  <si>
    <t>Bearpaw Women's Ximena Sandals Saddle / 10</t>
  </si>
  <si>
    <t>S889918859883</t>
  </si>
  <si>
    <t>https://cdn.shopify.com/s/files/1/0471/0885/files/BearpawWomen_sXimenaSandals_Saddle-1.jpg?v=1717016253</t>
  </si>
  <si>
    <t>2922W-116</t>
  </si>
  <si>
    <t>Bearpaw Women's Ximena Sandals Saddle / 6</t>
  </si>
  <si>
    <t>S889918859845</t>
  </si>
  <si>
    <t>Bearpaw Women's Ximena Sandals Saddle / 7</t>
  </si>
  <si>
    <t>S889918859852</t>
  </si>
  <si>
    <t>Bearpaw Women's Ximena Sandals Saddle / 8</t>
  </si>
  <si>
    <t>S889918859869</t>
  </si>
  <si>
    <t>Bearpaw Women's Ximena Sandals Saddle / 9</t>
  </si>
  <si>
    <t>S889918859876</t>
  </si>
  <si>
    <t>Bearpaw Women's Lilo Sandals Brown / 5</t>
  </si>
  <si>
    <t>S889918482913</t>
  </si>
  <si>
    <t>https://cdn.shopify.com/s/files/1/0471/0885/files/BearpawWomen_sLiloSandals_Brown-1.jpg?v=1710784863</t>
  </si>
  <si>
    <t>Brown</t>
  </si>
  <si>
    <t>2433W-214</t>
  </si>
  <si>
    <t>Bearpaw Women's Lilo Sandals Brown / 6</t>
  </si>
  <si>
    <t>S889918482920</t>
  </si>
  <si>
    <t>Bearpaw Women's Lilo Sandals Brown / 7</t>
  </si>
  <si>
    <t>S889918482937</t>
  </si>
  <si>
    <t>Bearpaw Women's Lilo Sandals Brown / 8</t>
  </si>
  <si>
    <t>S889918482944</t>
  </si>
  <si>
    <t>Bearpaw Women's Lilo Sandals Brown / 9</t>
  </si>
  <si>
    <t>S889918482951</t>
  </si>
  <si>
    <t>Bearpaw Women's Lilo Sandals Hazelnut / 11</t>
  </si>
  <si>
    <t>S889918482883</t>
  </si>
  <si>
    <t>https://cdn.shopify.com/s/files/1/0471/0885/files/BearpawWomen_sLiloSandals_Hazelnut-1.jpg?v=1710784861</t>
  </si>
  <si>
    <t>Hazelnut</t>
  </si>
  <si>
    <t>2433W-115</t>
  </si>
  <si>
    <t>Bearpaw Women's Lilo Sandals Hazelnut / 5</t>
  </si>
  <si>
    <t>S889918482821</t>
  </si>
  <si>
    <t>Bearpaw Women's Lilo Sandals Hazelnut / 6</t>
  </si>
  <si>
    <t>S889918482838</t>
  </si>
  <si>
    <t>Bearpaw Women's Lilo Sandals Hazelnut / 8</t>
  </si>
  <si>
    <t>S889918482852</t>
  </si>
  <si>
    <t>Bearpaw Women's Lilo Sandals Indigo / 5</t>
  </si>
  <si>
    <t>S889918483002</t>
  </si>
  <si>
    <t>https://cdn.shopify.com/s/files/1/0471/0885/files/BearpawWomen_sLiloSandals_Indigo-1.jpg?v=1710784862</t>
  </si>
  <si>
    <t>Indigo</t>
  </si>
  <si>
    <t>2433W-311</t>
  </si>
  <si>
    <t>Bearpaw Women's Lilo Sandals Indigo / 6</t>
  </si>
  <si>
    <t>S889918483019</t>
  </si>
  <si>
    <t>Bearpaw Women's Lilo Sandals Indigo / 7</t>
  </si>
  <si>
    <t>S889918483026</t>
  </si>
  <si>
    <t>Bearpaw Women's Lilo Sandals Indigo / 8</t>
  </si>
  <si>
    <t>S889918483033</t>
  </si>
  <si>
    <t>Bearpaw Women's Lilo Sandals Silver / 11</t>
  </si>
  <si>
    <t>S889918482791</t>
  </si>
  <si>
    <t>https://cdn.shopify.com/s/files/1/0471/0885/files/BearpawWomen_sLiloSandals_Silver-1.jpg?v=1710784862</t>
  </si>
  <si>
    <t>2433W-019</t>
  </si>
  <si>
    <t>Bearpaw Women's Lilo Sandals Silver / 5</t>
  </si>
  <si>
    <t>S889918482739</t>
  </si>
  <si>
    <t>Bearpaw Women's Lilo Sandals Silver / 6</t>
  </si>
  <si>
    <t>S889918482746</t>
  </si>
  <si>
    <t>Bearpaw Women's Lilo Sandals Silver / 7</t>
  </si>
  <si>
    <t>S889918482753</t>
  </si>
  <si>
    <t>Bearpaw Women's Lilo Sandals Silver / 8</t>
  </si>
  <si>
    <t>S889918482760</t>
  </si>
  <si>
    <t>Bearpaw Women's Lilo Sandals Silver / 9</t>
  </si>
  <si>
    <t>S889918482777</t>
  </si>
  <si>
    <t>Bearpaw Men's Moccasin II Slipper Camel / 10</t>
  </si>
  <si>
    <t>S889918188006</t>
  </si>
  <si>
    <t>https://cdn.shopify.com/s/files/1/0471/0885/files/889918188006-1.jpg?v=1717247145</t>
  </si>
  <si>
    <t>Camel</t>
  </si>
  <si>
    <t>1295M</t>
  </si>
  <si>
    <t>Bearpaw Men's Moccasin II Slipper Camel / 11</t>
  </si>
  <si>
    <t>S889918188013</t>
  </si>
  <si>
    <t>Bearpaw Men's Moccasin II Slipper Camel / 12</t>
  </si>
  <si>
    <t>S889918188020</t>
  </si>
  <si>
    <t>Bearpaw Men's Moccasin II Slipper Camel / 13</t>
  </si>
  <si>
    <t>S889918188037</t>
  </si>
  <si>
    <t>Bearpaw Men's Moccasin II Slipper Camel / 8</t>
  </si>
  <si>
    <t>S889918187986</t>
  </si>
  <si>
    <t>Bearpaw Men's Moccasin II Slipper Camel / 9</t>
  </si>
  <si>
    <t>S889918187993</t>
  </si>
  <si>
    <t>Birkenstock Unisex Barbados EVA Sandals Bold Jade / 36 / Regular/Wide</t>
  </si>
  <si>
    <t>S887759573050</t>
  </si>
  <si>
    <t>https://cdn.shopify.com/s/files/1/0471/0885/products/Birkenstock-Unisex-Barbados-EVA-Sandals-1.jpg?v=1721768549</t>
  </si>
  <si>
    <t>Birkenstock</t>
  </si>
  <si>
    <t>Bold Jade</t>
  </si>
  <si>
    <t>Birkenstock Unisex Barbados EVA Sandals Bold Jade / 37 / Regular/Wide</t>
  </si>
  <si>
    <t>S887759573081</t>
  </si>
  <si>
    <t>Birkenstock Unisex Barbados EVA Sandals Bold Jade / 45 / Regular/Wide</t>
  </si>
  <si>
    <t>S887759575320</t>
  </si>
  <si>
    <t>Birkenstock Split Birko-Flor Arizona Sandals Cork Brown / 41 / Regular/Wide</t>
  </si>
  <si>
    <t>S887759928430</t>
  </si>
  <si>
    <t>https://cdn.shopify.com/s/files/1/0471/0885/products/BirkenstockSplitBirko-FlorArizonaSandalsBlack-Red-1.jpg?v=1721769823</t>
  </si>
  <si>
    <t>Cork Brown</t>
  </si>
  <si>
    <t>Birkenstock Split Birko-Flor Arizona Sandals Cork Brown / 42 / Regular/Wide</t>
  </si>
  <si>
    <t>S887759928461</t>
  </si>
  <si>
    <t>Birkenstock Split Birko-Flor Arizona Sandals Cork Brown / 44 / Regular/Wide</t>
  </si>
  <si>
    <t>S887759928522</t>
  </si>
  <si>
    <t>Birkenstock Milano Soft Footbed Birko-Flor Sandals Gray/Taupe / 38 / Medium/Narrow</t>
  </si>
  <si>
    <t>S887759719304</t>
  </si>
  <si>
    <t>https://cdn.shopify.com/s/files/1/0471/0885/files/Birkenstock-Milano-Soft-Footbed-Birko-Flor-Sandals_-90925981-90925986-90925972.jpg?v=1711640060</t>
  </si>
  <si>
    <t>Gray/Taupe</t>
  </si>
  <si>
    <t>Birkenstock Women's Arizona Platform Birko-Flor Sandals Metallic Silver / 38 / Medium/Narrow</t>
  </si>
  <si>
    <t>S802436887206</t>
  </si>
  <si>
    <t>https://cdn.shopify.com/s/files/1/0471/0885/products/S822698362273_Birkenstock-Women_s-Arizona-Platform-Birko-Flor-Sandals-Azure-Blue-Icy-Metallic.jpg?v=1721771561</t>
  </si>
  <si>
    <t>Metallic Silver</t>
  </si>
  <si>
    <t>Birkenstock Women's Papillio Arizona Chunky Birko-Flor Sandals Purple Fog / 39 / Medium/Narrow</t>
  </si>
  <si>
    <t>S887759907282</t>
  </si>
  <si>
    <t>https://cdn.shopify.com/s/files/1/0471/0885/products/S802436896628_Birkenstock-Women_s-Arizona-Chunky-Birko-Flor-Sandals-Black.jpg?v=1721771314</t>
  </si>
  <si>
    <t>Purple Fog</t>
  </si>
  <si>
    <t>Birkenstock Women's Papillio Arizona Platform Natural Leather Sandals Metallic Anthracite / 40 / Medium/Narrow</t>
  </si>
  <si>
    <t>S822698501931</t>
  </si>
  <si>
    <t>https://cdn.shopify.com/s/files/1/0471/0885/products/1018056_BirkenstockWomen_sArizonaPlatformNaturalLeatherSandalsNude-1.jpg?v=1721771600</t>
  </si>
  <si>
    <t>Metallic Anthracite</t>
  </si>
  <si>
    <t>Birkenstock Women's Papillio Arizona Platform Natural Leather Sandals Metallic Anthracite / 41 / Medium/Narrow</t>
  </si>
  <si>
    <t>S822698501962</t>
  </si>
  <si>
    <t>Birkenstock Women's Papillio Arizona Platform Natural Leather Sandals Metallic Dark Tourmaline / 37 / Medium/Narrow</t>
  </si>
  <si>
    <t>S822698502389</t>
  </si>
  <si>
    <t>Metallic Dark Tourmaline</t>
  </si>
  <si>
    <t>Birkenstock Women's Papillio Arizona Platform Natural Leather Sandals Metallic Dark Tourmaline / 39 / Medium/Narrow</t>
  </si>
  <si>
    <t>S822698502440</t>
  </si>
  <si>
    <t>Birkenstock Siena Embossed Leather Snake Sandals Beige / 38 / Medium/Narrow</t>
  </si>
  <si>
    <t>S822698197110</t>
  </si>
  <si>
    <t>https://cdn.shopify.com/s/files/1/0471/0885/files/822698197059-1.jpg?v=1714406002</t>
  </si>
  <si>
    <t>Beige</t>
  </si>
  <si>
    <t>Birkenstock Siena Embossed Leather Snake Sandals Beige / 39 / Medium/Narrow</t>
  </si>
  <si>
    <t>S822698197141</t>
  </si>
  <si>
    <t>Birkenstock Siena Embossed Leather Snake Sandals Beige / 41 / Medium/Narrow</t>
  </si>
  <si>
    <t>S822698197202</t>
  </si>
  <si>
    <t>Birkenstock Siena Embossed Leather Snake Sandals Brown / 38 / Medium/Narrow</t>
  </si>
  <si>
    <t>S822698196571</t>
  </si>
  <si>
    <t>https://cdn.shopify.com/s/files/1/0471/0885/files/822698196632-1.jpg?v=1708981588</t>
  </si>
  <si>
    <t>Birkenstock Siena Embossed Leather Snake Sandals Brown / 42 / Medium/Narrow</t>
  </si>
  <si>
    <t>S822698196694</t>
  </si>
  <si>
    <t>Birkenstock Kyoto Soft Footbed Nubuck Leather Sandals Desert Buck Almond / 42 / Regular/Wide</t>
  </si>
  <si>
    <t>S822698907955</t>
  </si>
  <si>
    <t>https://cdn.shopify.com/s/files/1/0471/0885/products/birkenstock_52b862af-cf18-4e59-9b32-bfc6cecd45eb.png?v=1667230181</t>
  </si>
  <si>
    <t>Desert Buck Almond</t>
  </si>
  <si>
    <t>Birkenstock Lugano Oiled Leather Sandals Camberra Old Black / 46 / Regular/Wide</t>
  </si>
  <si>
    <t>S822698315774</t>
  </si>
  <si>
    <t>https://cdn.shopify.com/s/files/1/0471/0885/products/S822698708170_Birkenstock-Lugano-Oiled-Leather-Sandals-Faded-Khaki.jpg?v=1721770360</t>
  </si>
  <si>
    <t>Camberra Old Black</t>
  </si>
  <si>
    <t>Birkenstock Lugano Oiled Leather Sandals Camberra Old Tobacco / 46 / Regular/Wide</t>
  </si>
  <si>
    <t>S802436795549</t>
  </si>
  <si>
    <t>Camberra Old Tobacco</t>
  </si>
  <si>
    <t>Birkenstock Gizeh Leather Sandals Blue / 40 / Medium/Narrow</t>
  </si>
  <si>
    <t>S822698810569</t>
  </si>
  <si>
    <t>/images/no-image.png</t>
  </si>
  <si>
    <t>Blue</t>
  </si>
  <si>
    <t>Birkenstock Siena Suede Leather Sandals Thyme / 40 / Medium/Narrow</t>
  </si>
  <si>
    <t>S887759944683</t>
  </si>
  <si>
    <t>https://cdn.shopify.com/s/files/1/0471/0885/files/887759943235-1.jpg?v=1714409887</t>
  </si>
  <si>
    <t>Thyme</t>
  </si>
  <si>
    <t>Birkenstock Siena Suede Leather Sandals Thyme / 42 / Medium/Narrow</t>
  </si>
  <si>
    <t>S887759944744</t>
  </si>
  <si>
    <t>Birkenstock Siena Suede Leather Vintage Sandals Metallic Rose Copper / 37 / Medium/Narrow</t>
  </si>
  <si>
    <t>S822698177211</t>
  </si>
  <si>
    <t>https://cdn.shopify.com/s/files/1/0471/0885/files/822698177211-1.jpg?v=1714405939</t>
  </si>
  <si>
    <t>Metallic Rose Copper</t>
  </si>
  <si>
    <t>Body Glove Women's Biker Shorts Black / L</t>
  </si>
  <si>
    <t>S734698157714</t>
  </si>
  <si>
    <t>https://cdn.shopify.com/s/files/1/0471/0885/files/Body_Glove_Women_s_Biker_Shorts-1.jpg?v=1718983783</t>
  </si>
  <si>
    <t>Body Glove</t>
  </si>
  <si>
    <t>BGS7641</t>
  </si>
  <si>
    <t>Body Glove Women's Biker Shorts Black / M</t>
  </si>
  <si>
    <t>S734698157707</t>
  </si>
  <si>
    <t>Body Glove Women's Biker Shorts Black / XL</t>
  </si>
  <si>
    <t>S734698157721</t>
  </si>
  <si>
    <t>Body Glove Women's Full Zip Hoodie Black / L</t>
  </si>
  <si>
    <t>S734698149788</t>
  </si>
  <si>
    <t>https://cdn.shopify.com/s/files/1/0471/0885/files/734698149764-1.jpg?v=1708730760</t>
  </si>
  <si>
    <t>BGH05245-F23 004</t>
  </si>
  <si>
    <t>Full Zip</t>
  </si>
  <si>
    <t>Body Glove Women's Full Zip Hoodie Black / M</t>
  </si>
  <si>
    <t>S734698149771</t>
  </si>
  <si>
    <t>Body Glove Women's Full Zip Hoodie Black / S</t>
  </si>
  <si>
    <t>S734698149764</t>
  </si>
  <si>
    <t>Body Glove Women's Full Zip Hoodie Burgundy Heather / L</t>
  </si>
  <si>
    <t>S734698149627</t>
  </si>
  <si>
    <t>https://cdn.shopify.com/s/files/1/0471/0885/files/734698149603-1.jpg?v=1708730748</t>
  </si>
  <si>
    <t>Burgundy Heather</t>
  </si>
  <si>
    <t xml:space="preserve">	BGH05245-F23 103H</t>
  </si>
  <si>
    <t>Body Glove Women's Full Zip Hoodie Grey Heather / L</t>
  </si>
  <si>
    <t>S734698149702</t>
  </si>
  <si>
    <t>https://cdn.shopify.com/s/files/1/0471/0885/files/734698149689-1.jpg?v=1708730732</t>
  </si>
  <si>
    <t>Grey Heather</t>
  </si>
  <si>
    <t>BGH05245-F23 003H</t>
  </si>
  <si>
    <t>Body Glove Women's Full Zip Hoodie Grey Heather / M</t>
  </si>
  <si>
    <t>S734698149696</t>
  </si>
  <si>
    <t>Body Glove Women's Full Zip Jacket Heather Grey / M</t>
  </si>
  <si>
    <t>S734698157783</t>
  </si>
  <si>
    <t>https://cdn.shopify.com/s/files/1/0471/0885/files/734698157776-1.jpg?v=1718821907</t>
  </si>
  <si>
    <t>Heather Grey</t>
  </si>
  <si>
    <t>BGTJ136</t>
  </si>
  <si>
    <t>Jackets</t>
  </si>
  <si>
    <t>Canada Weather Gear Men's Supreme Soft Space Dye 1/4 Zip Pullover Grey / L</t>
  </si>
  <si>
    <t>S198524031461</t>
  </si>
  <si>
    <t>https://cdn.shopify.com/s/files/1/0471/0885/files/CanadaWeatherGearMen_sSupremeSoftSpaceDye1_4ZipPullover_Grey.jpg?v=1730134260</t>
  </si>
  <si>
    <t>Canada Weather Gear</t>
  </si>
  <si>
    <t>41019CGY</t>
  </si>
  <si>
    <t>Canada Weather Gear Men's Supreme Soft Space Dye 1/4 Zip Pullover Grey / XL</t>
  </si>
  <si>
    <t>S198524031478</t>
  </si>
  <si>
    <t>Canada Weather Gear Women's Hooded Sweater Fleece with Logo Print Black / M</t>
  </si>
  <si>
    <t>S198524007862</t>
  </si>
  <si>
    <t>https://cdn.shopify.com/s/files/1/0471/0885/files/CanadaWeatherGearWomen_sHoodedSweaterFleecewithLogoPrint_Black-1.jpg?v=1729782559</t>
  </si>
  <si>
    <t>43030CBK</t>
  </si>
  <si>
    <t>Hoodie</t>
  </si>
  <si>
    <t>Canada Weather Gear Women's Hooded Sweater Fleece with Logo Print Black / S</t>
  </si>
  <si>
    <t>S198524007855</t>
  </si>
  <si>
    <t>Canada Weather Gear Women's Hooded Sweater Fleece with Logo Print Medium Heather / L</t>
  </si>
  <si>
    <t>S198524007824</t>
  </si>
  <si>
    <t>https://cdn.shopify.com/s/files/1/0471/0885/files/CanadaWeatherGearWomen_sHoodedSweaterFleecewithLogoPrint_Heather-1.jpg?v=1729782558</t>
  </si>
  <si>
    <t>Medium Heather</t>
  </si>
  <si>
    <t>43030CGY</t>
  </si>
  <si>
    <t>Canada Weather Gear Women's Hooded Sweater Fleece with Logo Print Medium Heather / M</t>
  </si>
  <si>
    <t>S198524007817</t>
  </si>
  <si>
    <t>Canada Weather Gear Women's Hooded Sweater Fleece with Logo Print Medium Heather / S</t>
  </si>
  <si>
    <t>S198524007800</t>
  </si>
  <si>
    <t>Canada Weather Gear Men's Colorblock Vest With Sherpa Lining Grey Camo / L</t>
  </si>
  <si>
    <t>S791390787670</t>
  </si>
  <si>
    <t>https://cdn.shopify.com/s/files/1/0471/0885/files/CanadaWeatherGearMen_sColorblockVestWithSherpaLining_GreyCamo-1.jpg?v=1723151446</t>
  </si>
  <si>
    <t>Grey Camo</t>
  </si>
  <si>
    <t>CWG039Y3449</t>
  </si>
  <si>
    <t>Vests</t>
  </si>
  <si>
    <t>Canada Weather Gear Men's Colorblock Vest With Sherpa Lining Grey Camo / M</t>
  </si>
  <si>
    <t>S791390787663</t>
  </si>
  <si>
    <t>Canada Weather Gear Men's Colorblock Vest With Sherpa Lining Grey Camo / S</t>
  </si>
  <si>
    <t>S791390787656</t>
  </si>
  <si>
    <t>Canada Weather Gear Men's Non Perforated Button up Short Sleeve Shirt Grey / L</t>
  </si>
  <si>
    <t>S791390301906</t>
  </si>
  <si>
    <t>https://cdn.shopify.com/s/files/1/0471/0885/files/791390301890-1.jpg?v=1710871044</t>
  </si>
  <si>
    <t>CWG048X1418</t>
  </si>
  <si>
    <t>Canada Weather Gear Men's Non Perforated Button up Short Sleeve Shirt Grey / M</t>
  </si>
  <si>
    <t>S791390301890</t>
  </si>
  <si>
    <t>Canada Weather Gear Men's Non Perforated Button up Short Sleeve Shirt Grey / S</t>
  </si>
  <si>
    <t>S791390301883</t>
  </si>
  <si>
    <t>Canada Weather Gear Men's Sweater Fleece Vest Black / 2XL</t>
  </si>
  <si>
    <t>S198524026689</t>
  </si>
  <si>
    <t>41036CBK</t>
  </si>
  <si>
    <t>Canada Weather Gear Men's Sweater Fleece Vest Black / L</t>
  </si>
  <si>
    <t>S198524026665</t>
  </si>
  <si>
    <t>Canada Weather Gear Men's Sweater Fleece Vest Black / M</t>
  </si>
  <si>
    <t>S198524026658</t>
  </si>
  <si>
    <t>Canada Weather Gear Men's Sweater Fleece Vest Black / XL</t>
  </si>
  <si>
    <t>S198524026672</t>
  </si>
  <si>
    <t>Canada Weather Gear Men's Sweater Fleece Vest Navy / 2XL</t>
  </si>
  <si>
    <t>S198524026580</t>
  </si>
  <si>
    <t>Navy</t>
  </si>
  <si>
    <t>41036CNV</t>
  </si>
  <si>
    <t>Canada Weather Gear Men's Sweater Fleece Vest Navy / L</t>
  </si>
  <si>
    <t>S198524026566</t>
  </si>
  <si>
    <t>Canada Weather Gear Men's Sweater Fleece Vest Navy / M</t>
  </si>
  <si>
    <t>S198524026559</t>
  </si>
  <si>
    <t>Canada Weather Gear Men's Sweater Fleece Vest Navy / XL</t>
  </si>
  <si>
    <t>S198524026573</t>
  </si>
  <si>
    <t>Canada Weather Gear Men's Supreme Soft Space Dye 1/4 Zip Pullover Grey / 2XL</t>
  </si>
  <si>
    <t>S198524031485</t>
  </si>
  <si>
    <t>Canada Weather Gear Men's Non Perforated Button up Short Sleeve Shirt Digi Camo / L</t>
  </si>
  <si>
    <t>S791390133019</t>
  </si>
  <si>
    <t>https://cdn.shopify.com/s/files/1/0471/0885/files/791390133002-1.jpg?v=1710870646</t>
  </si>
  <si>
    <t>Digi Camo</t>
  </si>
  <si>
    <t>Canada Weather Gear Men's Non Perforated Button up Short Sleeve Shirt Digi Camo / S</t>
  </si>
  <si>
    <t>S791390132999</t>
  </si>
  <si>
    <t>Canada Weather Gear Men's Perforated Button up Short Sleeve Shirt Island Boat / S</t>
  </si>
  <si>
    <t>S791390958285</t>
  </si>
  <si>
    <t>https://cdn.shopify.com/s/files/1/0471/0885/files/791390958292-1.jpg?v=1710871343</t>
  </si>
  <si>
    <t>Island Boat</t>
  </si>
  <si>
    <t>CWG037X4030</t>
  </si>
  <si>
    <t>Canada Weather Gear Men's Perforated Button up Short Sleeve Shirt Palm Tree / L</t>
  </si>
  <si>
    <t>S791390725955</t>
  </si>
  <si>
    <t>https://cdn.shopify.com/s/files/1/0471/0885/files/791390725948-1.jpg?v=1710871284</t>
  </si>
  <si>
    <t>Palm Tree</t>
  </si>
  <si>
    <t>CWG037X2382</t>
  </si>
  <si>
    <t>Canada Weather Gear Men's Perforated Button up Short Sleeve Shirt Palm Tree / S</t>
  </si>
  <si>
    <t>S791390725931</t>
  </si>
  <si>
    <t>Canada Weather Gear Men's Trail Blazer Henley T-Shirt Sky / L</t>
  </si>
  <si>
    <t>S791390146583</t>
  </si>
  <si>
    <t>https://cdn.shopify.com/s/files/1/0471/0885/products/791390146583.jpg?v=1708924982</t>
  </si>
  <si>
    <t>Sky</t>
  </si>
  <si>
    <t>CWG053Y1123</t>
  </si>
  <si>
    <t>Canada Weather Gear Men's Trail Blazer Henley T-Shirt Sky / S</t>
  </si>
  <si>
    <t>S791390146569</t>
  </si>
  <si>
    <t>Canada Weather Gear Men's Blizzard Fleece Pullover Shadow Camo / L</t>
  </si>
  <si>
    <t>S791390588185</t>
  </si>
  <si>
    <t>https://cdn.shopify.com/s/files/1/0471/0885/files/Canada-Weather-Gear-Men_s-Blizzard-Fleece-Pullover_-2796884.jpg?v=1711646632</t>
  </si>
  <si>
    <t>Shadow Camo</t>
  </si>
  <si>
    <t>CWG873Y3449</t>
  </si>
  <si>
    <t>Canada Weather Gear Men's Full Zip Sweater Fleece Black / L</t>
  </si>
  <si>
    <t>S198524027013</t>
  </si>
  <si>
    <t>41035CBK</t>
  </si>
  <si>
    <t>Sweatshirts</t>
  </si>
  <si>
    <t>Canada Weather Gear Men's Full Zip Sweater Fleece Black / M</t>
  </si>
  <si>
    <t>S198524027006</t>
  </si>
  <si>
    <t>https://cdn.shopify.com/s/files/1/0471/0885/files/CanadaWeatherGearMen_sFullZipSweaterFleece_Black-1.jpg?v=1730132378</t>
  </si>
  <si>
    <t>Canada Weather Gear Men's Sweater Fleece Pullover with Logo Black / L</t>
  </si>
  <si>
    <t>S198524026368</t>
  </si>
  <si>
    <t>https://cdn.shopify.com/s/files/1/0471/0885/files/CanadaWeatherGearMen_sSweaterFleecePulloverwithLogo_Black-1_0391f793-9678-4464-994a-584c2da45158.jpg?v=1730756788</t>
  </si>
  <si>
    <t>41037CBK</t>
  </si>
  <si>
    <t>Canada Weather Gear Men's Supreme Soft Two Tone Crew Castlerock/Cocoon / L</t>
  </si>
  <si>
    <t>S791390300343</t>
  </si>
  <si>
    <t>https://cdn.shopify.com/s/files/1/0471/0885/products/s791390151440par_canada_20weather_20gear_20men_27s_20ascender_20t-shirt_20castlerock-cocoon-1.jpg?v=1708924071</t>
  </si>
  <si>
    <t>Castlerock/Cocoon</t>
  </si>
  <si>
    <t>CWG052Y708</t>
  </si>
  <si>
    <t>Canada Weather Gear Men's Supreme Soft Two Tone Crew Castlerock/Cocoon / S</t>
  </si>
  <si>
    <t>S791390300329</t>
  </si>
  <si>
    <t>Canada Weather Gear Men's Supreme Soft Two Tone Crew Sierra Gold / L</t>
  </si>
  <si>
    <t>S791390151648</t>
  </si>
  <si>
    <t>https://cdn.shopify.com/s/files/1/0471/0885/products/791390151631.jpg?v=1708924059</t>
  </si>
  <si>
    <t>Sierra Gold</t>
  </si>
  <si>
    <t>Canada Weather Gear Women's Long Puffer with Faux Fur Trim Hood Teal Ocean / M</t>
  </si>
  <si>
    <t>S196730075798</t>
  </si>
  <si>
    <t>https://cdn.shopify.com/s/files/1/0471/0885/products/196730075781_Canada-Weather-Gear-Women_s-Long-Puffer-with-Faux-Fur-Trim-Hood-Teal-Ocean.jpg?v=1717253836</t>
  </si>
  <si>
    <t>Teal Ocean</t>
  </si>
  <si>
    <t>OLCW780PZ</t>
  </si>
  <si>
    <t>Puffer</t>
  </si>
  <si>
    <t>Canada Weather Gear Men's Sherpa Lined Buffalo Plaid Shirt Jacket Olive/Black / L</t>
  </si>
  <si>
    <t>S791390606308</t>
  </si>
  <si>
    <t>https://cdn.shopify.com/s/files/1/0471/0885/files/Canada-Weather-Gear-Men_s-Sherpa-Lined-Buffalo-Plaid-Shirt-Jacket_-2802083.jpg?v=1711646826</t>
  </si>
  <si>
    <t>Olive/Black</t>
  </si>
  <si>
    <t>CWG025Y3440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</si>
</sst>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&quot;$&quot;* #,##0.00_);_(&quot;$&quot;* \(#,##0.00\);_(&quot;$&quot;* &quot;-&quot;??_);_(@_)"/>
    <numFmt numFmtId="165" formatCode="&quot;$&quot;#,##0.00"/>
  </numFmts>
  <fonts count="7">
    <font>
      <sz val="11"/>
      <color theme="1"/>
      <name val="Aptos Narrow"/>
    </font>
    <font>
      <sz val="11"/>
      <color indexed="8"/>
      <name val="Aptos Narrow"/>
    </font>
    <font>
      <u/>
      <sz val="11"/>
      <color indexed="49"/>
      <name val="Arial"/>
    </font>
    <font>
      <u/>
      <sz val="11"/>
      <color indexed="8"/>
      <name val="Arial"/>
    </font>
    <font>
      <u/>
      <sz val="11"/>
      <color indexed="12"/>
      <name val="Arial"/>
    </font>
    <font>
      <u/>
      <sz val="11"/>
      <color indexed="49"/>
      <name val="Aptos Narrow"/>
    </font>
    <font>
      <b/>
      <sz val="11"/>
      <color indexed="8"/>
      <name val="Aptos Narrow"/>
    </font>
  </fonts>
  <fills count="6">
    <fill>
      <patternFill patternType="none"/>
    </fill>
    <fill>
      <patternFill patternType="gray125"/>
    </fill>
    <fill>
      <patternFill patternType="solid">
        <fgColor indexed="47"/>
        <bgColor indexed="47"/>
      </patternFill>
    </fill>
    <fill>
      <patternFill patternType="solid">
        <fgColor indexed="13"/>
        <bgColor indexed="13"/>
      </patternFill>
    </fill>
    <fill>
      <patternFill patternType="solid">
        <fgColor indexed="44"/>
        <bgColor indexed="44"/>
      </patternFill>
    </fill>
    <fill>
      <patternFill patternType="solid">
        <fgColor indexed="42"/>
        <bgColor indexed="42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21">
    <xf numFmtId="0" fontId="0" fillId="0" borderId="0" xfId="0" applyFont="1" applyAlignment="1"/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164" fontId="1" fillId="4" borderId="1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164" fontId="1" fillId="4" borderId="2" xfId="0" applyNumberFormat="1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165" fontId="1" fillId="0" borderId="0" xfId="0" applyNumberFormat="1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dn.shopify.com/s/files/1/0471/0885/files/adidas-Men_s-Runfalcon-2.0-Shoe_Black-1.png?v=1727209033" TargetMode="External"/><Relationship Id="rId2" Type="http://schemas.openxmlformats.org/officeDocument/2006/relationships/hyperlink" Target="https://cdn.shopify.com/s/files/1/0471/0885/files/adidasMen_sEssentials3-StripeShorts_Royal-2.jpg?v=1723580705" TargetMode="External"/><Relationship Id="rId1" Type="http://schemas.openxmlformats.org/officeDocument/2006/relationships/hyperlink" Target="https://cdn.shopify.com/s/files/1/0471/0885/files/195737514606-1.jpg?v=1691533296" TargetMode="External"/><Relationship Id="rId5" Type="http://schemas.openxmlformats.org/officeDocument/2006/relationships/hyperlink" Target="https://cdn.shopify.com/s/files/1/0471/0885/products/1317222_UnderArmourWomen_sWindstrikeJacket-1.jpg?v=1658323764" TargetMode="External"/><Relationship Id="rId4" Type="http://schemas.openxmlformats.org/officeDocument/2006/relationships/hyperlink" Target="https://cdn.shopify.com/s/files/1/0471/0885/files/adidas-Men_s-Runfalcon-2.0-Shoe_Black-1.png?v=17272090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00"/>
  <sheetViews>
    <sheetView tabSelected="1" workbookViewId="0"/>
  </sheetViews>
  <sheetFormatPr defaultColWidth="12.625" defaultRowHeight="15" customHeight="1"/>
  <cols>
    <col min="1" max="1" width="59.375" customWidth="1"/>
    <col min="2" max="2" width="16.375" customWidth="1"/>
    <col min="3" max="3" width="13.375" customWidth="1"/>
    <col min="4" max="4" width="19.5" customWidth="1"/>
    <col min="5" max="5" width="15.625" customWidth="1"/>
    <col min="6" max="6" width="20.5" customWidth="1"/>
    <col min="7" max="7" width="8.5" customWidth="1"/>
    <col min="8" max="8" width="16.625" customWidth="1"/>
    <col min="9" max="9" width="8.5" customWidth="1"/>
    <col min="10" max="10" width="17.625" customWidth="1"/>
    <col min="11" max="11" width="8.5" customWidth="1"/>
    <col min="12" max="12" width="10.5" customWidth="1"/>
    <col min="13" max="13" width="17.125" customWidth="1"/>
    <col min="14" max="26" width="12.5" customWidth="1"/>
  </cols>
  <sheetData>
    <row r="1" spans="1:13" ht="14.25">
      <c r="A1" s="1" t="s">
        <v>2193</v>
      </c>
      <c r="B1" s="1" t="s">
        <v>2194</v>
      </c>
      <c r="C1" s="1" t="s">
        <v>2195</v>
      </c>
      <c r="D1" s="2" t="s">
        <v>2196</v>
      </c>
      <c r="E1" s="1" t="s">
        <v>2197</v>
      </c>
      <c r="F1" s="1" t="s">
        <v>2198</v>
      </c>
      <c r="G1" s="1" t="s">
        <v>2199</v>
      </c>
      <c r="H1" s="1" t="s">
        <v>2200</v>
      </c>
      <c r="I1" s="1" t="s">
        <v>2201</v>
      </c>
      <c r="J1" s="1" t="s">
        <v>2202</v>
      </c>
      <c r="K1" s="3" t="s">
        <v>2203</v>
      </c>
      <c r="L1" s="4" t="s">
        <v>2204</v>
      </c>
      <c r="M1" s="5" t="s">
        <v>2205</v>
      </c>
    </row>
    <row r="2" spans="1:13" ht="14.25">
      <c r="A2" s="1" t="s">
        <v>2206</v>
      </c>
      <c r="B2" s="1" t="str">
        <f>"95737514583"</f>
        <v>95737514583</v>
      </c>
      <c r="C2" s="1" t="s">
        <v>2207</v>
      </c>
      <c r="D2" s="6" t="s">
        <v>2208</v>
      </c>
      <c r="E2" s="1" t="s">
        <v>2209</v>
      </c>
      <c r="F2" s="1" t="s">
        <v>2210</v>
      </c>
      <c r="G2" s="1" t="s">
        <v>2211</v>
      </c>
      <c r="H2" s="1" t="s">
        <v>2212</v>
      </c>
      <c r="I2" s="1" t="s">
        <v>2213</v>
      </c>
      <c r="J2" s="1" t="s">
        <v>2214</v>
      </c>
      <c r="K2" s="3">
        <v>1</v>
      </c>
      <c r="L2" s="4">
        <v>32</v>
      </c>
      <c r="M2" s="4">
        <f t="shared" ref="M2:M65" si="0">L2*K2</f>
        <v>32</v>
      </c>
    </row>
    <row r="3" spans="1:13" ht="14.25">
      <c r="A3" s="1" t="s">
        <v>2215</v>
      </c>
      <c r="B3" s="1" t="str">
        <f>"888593037593"</f>
        <v>888593037593</v>
      </c>
      <c r="C3" s="1" t="s">
        <v>2216</v>
      </c>
      <c r="D3" s="7" t="s">
        <v>2217</v>
      </c>
      <c r="E3" s="1" t="s">
        <v>2209</v>
      </c>
      <c r="F3" s="1" t="s">
        <v>2218</v>
      </c>
      <c r="G3" s="1" t="s">
        <v>2219</v>
      </c>
      <c r="H3" s="1"/>
      <c r="I3" s="1" t="s">
        <v>2220</v>
      </c>
      <c r="J3" s="1" t="s">
        <v>2221</v>
      </c>
      <c r="K3" s="3">
        <v>1</v>
      </c>
      <c r="L3" s="4">
        <v>40</v>
      </c>
      <c r="M3" s="4">
        <f t="shared" si="0"/>
        <v>40</v>
      </c>
    </row>
    <row r="4" spans="1:13" ht="14.25">
      <c r="A4" s="1" t="s">
        <v>2222</v>
      </c>
      <c r="B4" s="1" t="str">
        <f>"887778760486"</f>
        <v>887778760486</v>
      </c>
      <c r="C4" s="1" t="s">
        <v>2223</v>
      </c>
      <c r="D4" s="2" t="s">
        <v>2224</v>
      </c>
      <c r="E4" s="1" t="s">
        <v>2209</v>
      </c>
      <c r="F4" s="1" t="s">
        <v>2225</v>
      </c>
      <c r="G4" s="1" t="s">
        <v>2211</v>
      </c>
      <c r="H4" s="1"/>
      <c r="I4" s="1" t="s">
        <v>2220</v>
      </c>
      <c r="J4" s="1" t="s">
        <v>2221</v>
      </c>
      <c r="K4" s="3">
        <v>45</v>
      </c>
      <c r="L4" s="4">
        <v>40</v>
      </c>
      <c r="M4" s="4">
        <f t="shared" si="0"/>
        <v>1800</v>
      </c>
    </row>
    <row r="5" spans="1:13" ht="14.25">
      <c r="A5" s="1" t="s">
        <v>2226</v>
      </c>
      <c r="B5" s="1" t="str">
        <f>"195733831547"</f>
        <v>195733831547</v>
      </c>
      <c r="C5" s="1" t="s">
        <v>2227</v>
      </c>
      <c r="D5" s="2" t="s">
        <v>2228</v>
      </c>
      <c r="E5" s="1" t="s">
        <v>2209</v>
      </c>
      <c r="F5" s="1" t="s">
        <v>2210</v>
      </c>
      <c r="G5" s="1" t="str">
        <f>"8.5"</f>
        <v>8.5</v>
      </c>
      <c r="H5" s="1" t="s">
        <v>2229</v>
      </c>
      <c r="I5" s="1" t="s">
        <v>2220</v>
      </c>
      <c r="J5" s="1" t="s">
        <v>2230</v>
      </c>
      <c r="K5" s="3">
        <v>12</v>
      </c>
      <c r="L5" s="4">
        <v>70</v>
      </c>
      <c r="M5" s="4">
        <f t="shared" si="0"/>
        <v>840</v>
      </c>
    </row>
    <row r="6" spans="1:13" ht="14.25">
      <c r="A6" s="1" t="s">
        <v>2231</v>
      </c>
      <c r="B6" s="1" t="str">
        <f>"191040253065"</f>
        <v>191040253065</v>
      </c>
      <c r="C6" s="1" t="s">
        <v>2232</v>
      </c>
      <c r="D6" s="2"/>
      <c r="E6" s="1" t="s">
        <v>2209</v>
      </c>
      <c r="F6" s="1" t="s">
        <v>2233</v>
      </c>
      <c r="G6" s="1" t="s">
        <v>2219</v>
      </c>
      <c r="H6" s="1" t="s">
        <v>2234</v>
      </c>
      <c r="I6" s="1" t="s">
        <v>2220</v>
      </c>
      <c r="J6" s="1" t="s">
        <v>2235</v>
      </c>
      <c r="K6" s="3">
        <v>1</v>
      </c>
      <c r="L6" s="4">
        <v>65</v>
      </c>
      <c r="M6" s="4">
        <f t="shared" si="0"/>
        <v>65</v>
      </c>
    </row>
    <row r="7" spans="1:13" ht="14.25">
      <c r="A7" s="1" t="s">
        <v>2236</v>
      </c>
      <c r="B7" s="1" t="str">
        <f>"4062055569006"</f>
        <v>4062055569006</v>
      </c>
      <c r="C7" s="1" t="s">
        <v>2237</v>
      </c>
      <c r="D7" s="2" t="s">
        <v>2238</v>
      </c>
      <c r="E7" s="1" t="s">
        <v>2209</v>
      </c>
      <c r="F7" s="1" t="s">
        <v>2239</v>
      </c>
      <c r="G7" s="1" t="str">
        <f>"8"</f>
        <v>8</v>
      </c>
      <c r="H7" s="1" t="s">
        <v>2240</v>
      </c>
      <c r="I7" s="1" t="s">
        <v>2220</v>
      </c>
      <c r="J7" s="1" t="s">
        <v>2230</v>
      </c>
      <c r="K7" s="3">
        <v>16</v>
      </c>
      <c r="L7" s="4">
        <v>31</v>
      </c>
      <c r="M7" s="4">
        <f t="shared" si="0"/>
        <v>496</v>
      </c>
    </row>
    <row r="8" spans="1:13" ht="14.25">
      <c r="A8" s="1" t="s">
        <v>2241</v>
      </c>
      <c r="B8" s="1" t="str">
        <f>"4062055568993"</f>
        <v>4062055568993</v>
      </c>
      <c r="C8" s="1" t="s">
        <v>2242</v>
      </c>
      <c r="D8" s="2" t="s">
        <v>2238</v>
      </c>
      <c r="E8" s="1" t="s">
        <v>2209</v>
      </c>
      <c r="F8" s="1" t="s">
        <v>2239</v>
      </c>
      <c r="G8" s="1" t="str">
        <f>"9"</f>
        <v>9</v>
      </c>
      <c r="H8" s="1" t="s">
        <v>2240</v>
      </c>
      <c r="I8" s="1" t="s">
        <v>2220</v>
      </c>
      <c r="J8" s="1" t="s">
        <v>2230</v>
      </c>
      <c r="K8" s="3">
        <v>11</v>
      </c>
      <c r="L8" s="4">
        <v>31</v>
      </c>
      <c r="M8" s="4">
        <f t="shared" si="0"/>
        <v>341</v>
      </c>
    </row>
    <row r="9" spans="1:13" ht="14.25">
      <c r="A9" s="1" t="s">
        <v>2243</v>
      </c>
      <c r="B9" s="1" t="str">
        <f>"4062055561475"</f>
        <v>4062055561475</v>
      </c>
      <c r="C9" s="1" t="s">
        <v>2244</v>
      </c>
      <c r="D9" s="2" t="s">
        <v>2245</v>
      </c>
      <c r="E9" s="1" t="s">
        <v>2209</v>
      </c>
      <c r="F9" s="1" t="s">
        <v>2246</v>
      </c>
      <c r="G9" s="1" t="str">
        <f>"10.5"</f>
        <v>10.5</v>
      </c>
      <c r="H9" s="1" t="s">
        <v>2247</v>
      </c>
      <c r="I9" s="1" t="s">
        <v>2220</v>
      </c>
      <c r="J9" s="1" t="s">
        <v>2230</v>
      </c>
      <c r="K9" s="3">
        <v>2</v>
      </c>
      <c r="L9" s="4">
        <v>31</v>
      </c>
      <c r="M9" s="4">
        <f t="shared" si="0"/>
        <v>62</v>
      </c>
    </row>
    <row r="10" spans="1:13" ht="14.25">
      <c r="A10" s="1" t="s">
        <v>2248</v>
      </c>
      <c r="B10" s="1" t="str">
        <f>"4062055561444"</f>
        <v>4062055561444</v>
      </c>
      <c r="C10" s="1" t="s">
        <v>2249</v>
      </c>
      <c r="D10" s="2" t="s">
        <v>2245</v>
      </c>
      <c r="E10" s="1" t="s">
        <v>2209</v>
      </c>
      <c r="F10" s="1" t="s">
        <v>2246</v>
      </c>
      <c r="G10" s="1" t="str">
        <f>"7.5"</f>
        <v>7.5</v>
      </c>
      <c r="H10" s="1" t="s">
        <v>2247</v>
      </c>
      <c r="I10" s="1" t="s">
        <v>2220</v>
      </c>
      <c r="J10" s="1" t="s">
        <v>2230</v>
      </c>
      <c r="K10" s="3">
        <v>1</v>
      </c>
      <c r="L10" s="4">
        <v>31</v>
      </c>
      <c r="M10" s="4">
        <f t="shared" si="0"/>
        <v>31</v>
      </c>
    </row>
    <row r="11" spans="1:13" ht="14.25">
      <c r="A11" s="1" t="s">
        <v>2250</v>
      </c>
      <c r="B11" s="1" t="str">
        <f>"4062055561437"</f>
        <v>4062055561437</v>
      </c>
      <c r="C11" s="1" t="s">
        <v>2251</v>
      </c>
      <c r="D11" s="2" t="s">
        <v>2245</v>
      </c>
      <c r="E11" s="1" t="s">
        <v>2209</v>
      </c>
      <c r="F11" s="1" t="s">
        <v>2246</v>
      </c>
      <c r="G11" s="1" t="str">
        <f>"8.5"</f>
        <v>8.5</v>
      </c>
      <c r="H11" s="1" t="s">
        <v>2247</v>
      </c>
      <c r="I11" s="1" t="s">
        <v>2220</v>
      </c>
      <c r="J11" s="1" t="s">
        <v>2230</v>
      </c>
      <c r="K11" s="3">
        <v>3</v>
      </c>
      <c r="L11" s="4">
        <v>31</v>
      </c>
      <c r="M11" s="4">
        <f t="shared" si="0"/>
        <v>93</v>
      </c>
    </row>
    <row r="12" spans="1:13" ht="14.25">
      <c r="A12" s="1" t="s">
        <v>2252</v>
      </c>
      <c r="B12" s="1" t="str">
        <f>"4065419848854"</f>
        <v>4065419848854</v>
      </c>
      <c r="C12" s="1" t="s">
        <v>2253</v>
      </c>
      <c r="D12" s="2" t="s">
        <v>2254</v>
      </c>
      <c r="E12" s="1" t="s">
        <v>2209</v>
      </c>
      <c r="F12" s="1" t="s">
        <v>2255</v>
      </c>
      <c r="G12" s="1" t="str">
        <f>"5.5"</f>
        <v>5.5</v>
      </c>
      <c r="H12" s="1" t="s">
        <v>2256</v>
      </c>
      <c r="I12" s="1" t="s">
        <v>2257</v>
      </c>
      <c r="J12" s="1" t="s">
        <v>2230</v>
      </c>
      <c r="K12" s="3">
        <v>1</v>
      </c>
      <c r="L12" s="4">
        <v>31</v>
      </c>
      <c r="M12" s="4">
        <f t="shared" si="0"/>
        <v>31</v>
      </c>
    </row>
    <row r="13" spans="1:13" ht="14.25">
      <c r="A13" s="1" t="s">
        <v>2258</v>
      </c>
      <c r="B13" s="1" t="str">
        <f>"4065419848847"</f>
        <v>4065419848847</v>
      </c>
      <c r="C13" s="1" t="s">
        <v>2259</v>
      </c>
      <c r="D13" s="2" t="s">
        <v>2254</v>
      </c>
      <c r="E13" s="1" t="s">
        <v>2209</v>
      </c>
      <c r="F13" s="1" t="s">
        <v>2255</v>
      </c>
      <c r="G13" s="1" t="str">
        <f>"6.5"</f>
        <v>6.5</v>
      </c>
      <c r="H13" s="1" t="s">
        <v>2256</v>
      </c>
      <c r="I13" s="1" t="s">
        <v>2257</v>
      </c>
      <c r="J13" s="1" t="s">
        <v>2230</v>
      </c>
      <c r="K13" s="3">
        <v>7</v>
      </c>
      <c r="L13" s="4">
        <v>31</v>
      </c>
      <c r="M13" s="4">
        <f t="shared" si="0"/>
        <v>217</v>
      </c>
    </row>
    <row r="14" spans="1:13" ht="14.25">
      <c r="A14" s="1" t="s">
        <v>2260</v>
      </c>
      <c r="B14" s="1" t="str">
        <f>"4065419852486"</f>
        <v>4065419852486</v>
      </c>
      <c r="C14" s="1" t="s">
        <v>2261</v>
      </c>
      <c r="D14" s="2" t="s">
        <v>2254</v>
      </c>
      <c r="E14" s="1" t="s">
        <v>2209</v>
      </c>
      <c r="F14" s="1" t="s">
        <v>2255</v>
      </c>
      <c r="G14" s="1" t="str">
        <f>"7.5"</f>
        <v>7.5</v>
      </c>
      <c r="H14" s="1" t="s">
        <v>2256</v>
      </c>
      <c r="I14" s="1" t="s">
        <v>2257</v>
      </c>
      <c r="J14" s="1" t="s">
        <v>2230</v>
      </c>
      <c r="K14" s="3">
        <v>27</v>
      </c>
      <c r="L14" s="4">
        <v>31</v>
      </c>
      <c r="M14" s="4">
        <f t="shared" si="0"/>
        <v>837</v>
      </c>
    </row>
    <row r="15" spans="1:13" ht="14.25">
      <c r="A15" s="1" t="s">
        <v>2262</v>
      </c>
      <c r="B15" s="1" t="str">
        <f>"4065419852622"</f>
        <v>4065419852622</v>
      </c>
      <c r="C15" s="1" t="s">
        <v>2263</v>
      </c>
      <c r="D15" s="2" t="s">
        <v>2264</v>
      </c>
      <c r="E15" s="1" t="s">
        <v>2209</v>
      </c>
      <c r="F15" s="1" t="s">
        <v>2265</v>
      </c>
      <c r="G15" s="1" t="str">
        <f>"6.5"</f>
        <v>6.5</v>
      </c>
      <c r="H15" s="1" t="s">
        <v>2266</v>
      </c>
      <c r="I15" s="1" t="s">
        <v>2257</v>
      </c>
      <c r="J15" s="1" t="s">
        <v>2230</v>
      </c>
      <c r="K15" s="3">
        <v>3</v>
      </c>
      <c r="L15" s="4">
        <v>31</v>
      </c>
      <c r="M15" s="4">
        <f t="shared" si="0"/>
        <v>93</v>
      </c>
    </row>
    <row r="16" spans="1:13" ht="14.25">
      <c r="A16" s="1" t="s">
        <v>2267</v>
      </c>
      <c r="B16" s="1" t="str">
        <f>"4065419852615"</f>
        <v>4065419852615</v>
      </c>
      <c r="C16" s="1" t="s">
        <v>2268</v>
      </c>
      <c r="D16" s="2" t="s">
        <v>2264</v>
      </c>
      <c r="E16" s="1" t="s">
        <v>2209</v>
      </c>
      <c r="F16" s="1" t="s">
        <v>2265</v>
      </c>
      <c r="G16" s="1" t="str">
        <f>"7.5"</f>
        <v>7.5</v>
      </c>
      <c r="H16" s="1" t="s">
        <v>2266</v>
      </c>
      <c r="I16" s="1" t="s">
        <v>2257</v>
      </c>
      <c r="J16" s="1" t="s">
        <v>2230</v>
      </c>
      <c r="K16" s="3">
        <v>32</v>
      </c>
      <c r="L16" s="4">
        <v>31</v>
      </c>
      <c r="M16" s="4">
        <f t="shared" si="0"/>
        <v>992</v>
      </c>
    </row>
    <row r="17" spans="1:13" ht="14.25">
      <c r="A17" s="1" t="s">
        <v>2269</v>
      </c>
      <c r="B17" s="1" t="str">
        <f>"194812527227"</f>
        <v>194812527227</v>
      </c>
      <c r="C17" s="1" t="s">
        <v>2270</v>
      </c>
      <c r="D17" s="2" t="s">
        <v>2271</v>
      </c>
      <c r="E17" s="1" t="s">
        <v>2209</v>
      </c>
      <c r="F17" s="1" t="s">
        <v>2272</v>
      </c>
      <c r="G17" s="1" t="str">
        <f>"10"</f>
        <v>10</v>
      </c>
      <c r="H17" s="1" t="s">
        <v>2273</v>
      </c>
      <c r="I17" s="1" t="s">
        <v>2220</v>
      </c>
      <c r="J17" s="1" t="s">
        <v>2230</v>
      </c>
      <c r="K17" s="3">
        <v>23</v>
      </c>
      <c r="L17" s="4">
        <v>75</v>
      </c>
      <c r="M17" s="4">
        <f t="shared" si="0"/>
        <v>1725</v>
      </c>
    </row>
    <row r="18" spans="1:13" ht="14.25">
      <c r="A18" s="1" t="s">
        <v>2274</v>
      </c>
      <c r="B18" s="1" t="str">
        <f>"194812527265"</f>
        <v>194812527265</v>
      </c>
      <c r="C18" s="1" t="s">
        <v>2275</v>
      </c>
      <c r="D18" s="2" t="s">
        <v>2271</v>
      </c>
      <c r="E18" s="1" t="s">
        <v>2209</v>
      </c>
      <c r="F18" s="1" t="s">
        <v>2272</v>
      </c>
      <c r="G18" s="1" t="str">
        <f>"10.5"</f>
        <v>10.5</v>
      </c>
      <c r="H18" s="1" t="s">
        <v>2273</v>
      </c>
      <c r="I18" s="1" t="s">
        <v>2220</v>
      </c>
      <c r="J18" s="1" t="s">
        <v>2230</v>
      </c>
      <c r="K18" s="3">
        <v>27</v>
      </c>
      <c r="L18" s="4">
        <v>75</v>
      </c>
      <c r="M18" s="4">
        <f t="shared" si="0"/>
        <v>2025</v>
      </c>
    </row>
    <row r="19" spans="1:13" ht="14.25">
      <c r="A19" s="1" t="s">
        <v>2276</v>
      </c>
      <c r="B19" s="1" t="str">
        <f>"194815656313"</f>
        <v>194815656313</v>
      </c>
      <c r="C19" s="1" t="s">
        <v>2277</v>
      </c>
      <c r="D19" s="8" t="s">
        <v>2278</v>
      </c>
      <c r="E19" s="1" t="s">
        <v>2209</v>
      </c>
      <c r="F19" s="1" t="s">
        <v>2210</v>
      </c>
      <c r="G19" s="1" t="str">
        <f>"7.5"</f>
        <v>7.5</v>
      </c>
      <c r="H19" s="1" t="s">
        <v>2279</v>
      </c>
      <c r="I19" s="1" t="s">
        <v>2220</v>
      </c>
      <c r="J19" s="1" t="s">
        <v>2230</v>
      </c>
      <c r="K19" s="3">
        <v>7</v>
      </c>
      <c r="L19" s="4">
        <v>65</v>
      </c>
      <c r="M19" s="4">
        <f t="shared" si="0"/>
        <v>455</v>
      </c>
    </row>
    <row r="20" spans="1:13" ht="14.25">
      <c r="A20" s="1" t="s">
        <v>2280</v>
      </c>
      <c r="B20" s="1" t="str">
        <f>"194815656399"</f>
        <v>194815656399</v>
      </c>
      <c r="C20" s="1" t="s">
        <v>2281</v>
      </c>
      <c r="D20" s="7" t="s">
        <v>2278</v>
      </c>
      <c r="E20" s="1" t="s">
        <v>2209</v>
      </c>
      <c r="F20" s="1" t="s">
        <v>2210</v>
      </c>
      <c r="G20" s="1" t="str">
        <f>"8"</f>
        <v>8</v>
      </c>
      <c r="H20" s="1" t="s">
        <v>2279</v>
      </c>
      <c r="I20" s="1" t="s">
        <v>2220</v>
      </c>
      <c r="J20" s="1" t="s">
        <v>2230</v>
      </c>
      <c r="K20" s="3">
        <v>8</v>
      </c>
      <c r="L20" s="4">
        <v>65</v>
      </c>
      <c r="M20" s="4">
        <f t="shared" si="0"/>
        <v>520</v>
      </c>
    </row>
    <row r="21" spans="1:13" ht="15.75" customHeight="1">
      <c r="A21" s="1" t="s">
        <v>2282</v>
      </c>
      <c r="B21" s="1" t="str">
        <f>"195734939402"</f>
        <v>195734939402</v>
      </c>
      <c r="C21" s="1" t="s">
        <v>2283</v>
      </c>
      <c r="D21" s="2" t="s">
        <v>2284</v>
      </c>
      <c r="E21" s="1" t="s">
        <v>2209</v>
      </c>
      <c r="F21" s="1" t="s">
        <v>2285</v>
      </c>
      <c r="G21" s="1" t="str">
        <f>"11"</f>
        <v>11</v>
      </c>
      <c r="H21" s="1" t="s">
        <v>2286</v>
      </c>
      <c r="I21" s="1" t="s">
        <v>2257</v>
      </c>
      <c r="J21" s="1" t="s">
        <v>2230</v>
      </c>
      <c r="K21" s="3">
        <v>4</v>
      </c>
      <c r="L21" s="4">
        <v>65</v>
      </c>
      <c r="M21" s="4">
        <f t="shared" si="0"/>
        <v>260</v>
      </c>
    </row>
    <row r="22" spans="1:13" ht="15.75" customHeight="1">
      <c r="A22" s="1" t="s">
        <v>2287</v>
      </c>
      <c r="B22" s="1" t="str">
        <f>"195734943096"</f>
        <v>195734943096</v>
      </c>
      <c r="C22" s="1" t="s">
        <v>2288</v>
      </c>
      <c r="D22" s="2" t="s">
        <v>2284</v>
      </c>
      <c r="E22" s="1" t="s">
        <v>2209</v>
      </c>
      <c r="F22" s="1" t="s">
        <v>2285</v>
      </c>
      <c r="G22" s="1" t="str">
        <f>"9"</f>
        <v>9</v>
      </c>
      <c r="H22" s="1" t="s">
        <v>2286</v>
      </c>
      <c r="I22" s="1" t="s">
        <v>2257</v>
      </c>
      <c r="J22" s="1" t="s">
        <v>2230</v>
      </c>
      <c r="K22" s="3">
        <v>20</v>
      </c>
      <c r="L22" s="4">
        <v>65</v>
      </c>
      <c r="M22" s="4">
        <f t="shared" si="0"/>
        <v>1300</v>
      </c>
    </row>
    <row r="23" spans="1:13" ht="15.75" customHeight="1">
      <c r="A23" s="1" t="s">
        <v>2289</v>
      </c>
      <c r="B23" s="1" t="str">
        <f>"4064047378016"</f>
        <v>4064047378016</v>
      </c>
      <c r="C23" s="1" t="s">
        <v>2290</v>
      </c>
      <c r="D23" s="2" t="s">
        <v>2291</v>
      </c>
      <c r="E23" s="1" t="s">
        <v>2209</v>
      </c>
      <c r="F23" s="1" t="s">
        <v>2292</v>
      </c>
      <c r="G23" s="1" t="str">
        <f>"9.5"</f>
        <v>9.5</v>
      </c>
      <c r="H23" s="1" t="s">
        <v>2293</v>
      </c>
      <c r="I23" s="1" t="s">
        <v>2220</v>
      </c>
      <c r="J23" s="1" t="s">
        <v>2230</v>
      </c>
      <c r="K23" s="3">
        <v>2</v>
      </c>
      <c r="L23" s="4">
        <v>149.99</v>
      </c>
      <c r="M23" s="4">
        <f t="shared" si="0"/>
        <v>299.98</v>
      </c>
    </row>
    <row r="24" spans="1:13" ht="15.75" customHeight="1">
      <c r="A24" s="1" t="s">
        <v>2294</v>
      </c>
      <c r="B24" s="1" t="str">
        <f>"4062059933315"</f>
        <v>4062059933315</v>
      </c>
      <c r="C24" s="1" t="s">
        <v>2295</v>
      </c>
      <c r="D24" s="2" t="s">
        <v>2296</v>
      </c>
      <c r="E24" s="1" t="s">
        <v>2209</v>
      </c>
      <c r="F24" s="1" t="s">
        <v>2297</v>
      </c>
      <c r="G24" s="1" t="str">
        <f>"4.5"</f>
        <v>4.5</v>
      </c>
      <c r="H24" s="1" t="s">
        <v>2298</v>
      </c>
      <c r="I24" s="1" t="s">
        <v>2220</v>
      </c>
      <c r="J24" s="1" t="s">
        <v>2230</v>
      </c>
      <c r="K24" s="3">
        <v>1</v>
      </c>
      <c r="L24" s="4">
        <v>149</v>
      </c>
      <c r="M24" s="4">
        <f t="shared" si="0"/>
        <v>149</v>
      </c>
    </row>
    <row r="25" spans="1:13" ht="15.75" customHeight="1">
      <c r="A25" s="1" t="s">
        <v>2299</v>
      </c>
      <c r="B25" s="1" t="str">
        <f>"4062064001726"</f>
        <v>4062064001726</v>
      </c>
      <c r="C25" s="1" t="s">
        <v>2300</v>
      </c>
      <c r="D25" s="2" t="s">
        <v>2301</v>
      </c>
      <c r="E25" s="1" t="s">
        <v>2209</v>
      </c>
      <c r="F25" s="1" t="s">
        <v>2302</v>
      </c>
      <c r="G25" s="1" t="str">
        <f>"3.5"</f>
        <v>3.5</v>
      </c>
      <c r="H25" s="1" t="s">
        <v>2303</v>
      </c>
      <c r="I25" s="1" t="s">
        <v>2304</v>
      </c>
      <c r="J25" s="1" t="s">
        <v>2230</v>
      </c>
      <c r="K25" s="3">
        <v>2</v>
      </c>
      <c r="L25" s="4">
        <v>159</v>
      </c>
      <c r="M25" s="4">
        <f t="shared" si="0"/>
        <v>318</v>
      </c>
    </row>
    <row r="26" spans="1:13" ht="15.75" customHeight="1">
      <c r="A26" s="1" t="s">
        <v>2305</v>
      </c>
      <c r="B26" s="1" t="str">
        <f>"4062064001740"</f>
        <v>4062064001740</v>
      </c>
      <c r="C26" s="1" t="s">
        <v>2306</v>
      </c>
      <c r="D26" s="2" t="s">
        <v>2301</v>
      </c>
      <c r="E26" s="1" t="s">
        <v>2209</v>
      </c>
      <c r="F26" s="1" t="s">
        <v>2302</v>
      </c>
      <c r="G26" s="1" t="str">
        <f>"4"</f>
        <v>4</v>
      </c>
      <c r="H26" s="1" t="s">
        <v>2303</v>
      </c>
      <c r="I26" s="1" t="s">
        <v>2304</v>
      </c>
      <c r="J26" s="1" t="s">
        <v>2230</v>
      </c>
      <c r="K26" s="3">
        <v>2</v>
      </c>
      <c r="L26" s="4">
        <v>159</v>
      </c>
      <c r="M26" s="4">
        <f t="shared" si="0"/>
        <v>318</v>
      </c>
    </row>
    <row r="27" spans="1:13" ht="15.75" customHeight="1">
      <c r="A27" s="1" t="s">
        <v>2307</v>
      </c>
      <c r="B27" s="1" t="str">
        <f>"4062064001689"</f>
        <v>4062064001689</v>
      </c>
      <c r="C27" s="1" t="s">
        <v>2308</v>
      </c>
      <c r="D27" s="2" t="s">
        <v>2301</v>
      </c>
      <c r="E27" s="1" t="s">
        <v>2209</v>
      </c>
      <c r="F27" s="1" t="s">
        <v>2302</v>
      </c>
      <c r="G27" s="1" t="str">
        <f>"4.5"</f>
        <v>4.5</v>
      </c>
      <c r="H27" s="1" t="s">
        <v>2303</v>
      </c>
      <c r="I27" s="1" t="s">
        <v>2304</v>
      </c>
      <c r="J27" s="1" t="s">
        <v>2230</v>
      </c>
      <c r="K27" s="3">
        <v>2</v>
      </c>
      <c r="L27" s="4">
        <v>159</v>
      </c>
      <c r="M27" s="4">
        <f t="shared" si="0"/>
        <v>318</v>
      </c>
    </row>
    <row r="28" spans="1:13" ht="15.75" customHeight="1">
      <c r="A28" s="1" t="s">
        <v>2309</v>
      </c>
      <c r="B28" s="1" t="str">
        <f>"4062064001733"</f>
        <v>4062064001733</v>
      </c>
      <c r="C28" s="1" t="s">
        <v>2310</v>
      </c>
      <c r="D28" s="2" t="s">
        <v>2301</v>
      </c>
      <c r="E28" s="1" t="s">
        <v>2209</v>
      </c>
      <c r="F28" s="1" t="s">
        <v>2302</v>
      </c>
      <c r="G28" s="1" t="str">
        <f>"5"</f>
        <v>5</v>
      </c>
      <c r="H28" s="1" t="s">
        <v>2303</v>
      </c>
      <c r="I28" s="1" t="s">
        <v>2304</v>
      </c>
      <c r="J28" s="1" t="s">
        <v>2230</v>
      </c>
      <c r="K28" s="3">
        <v>4</v>
      </c>
      <c r="L28" s="4">
        <v>159</v>
      </c>
      <c r="M28" s="4">
        <f t="shared" si="0"/>
        <v>636</v>
      </c>
    </row>
    <row r="29" spans="1:13" ht="15.75" customHeight="1">
      <c r="A29" s="1" t="s">
        <v>2311</v>
      </c>
      <c r="B29" s="1" t="str">
        <f>"4062064001719"</f>
        <v>4062064001719</v>
      </c>
      <c r="C29" s="1" t="s">
        <v>2312</v>
      </c>
      <c r="D29" s="2" t="s">
        <v>2301</v>
      </c>
      <c r="E29" s="1" t="s">
        <v>2209</v>
      </c>
      <c r="F29" s="1" t="s">
        <v>2302</v>
      </c>
      <c r="G29" s="1" t="str">
        <f>"5.5"</f>
        <v>5.5</v>
      </c>
      <c r="H29" s="1" t="s">
        <v>2303</v>
      </c>
      <c r="I29" s="1" t="s">
        <v>2304</v>
      </c>
      <c r="J29" s="1" t="s">
        <v>2230</v>
      </c>
      <c r="K29" s="3">
        <v>5</v>
      </c>
      <c r="L29" s="4">
        <v>159</v>
      </c>
      <c r="M29" s="4">
        <f t="shared" si="0"/>
        <v>795</v>
      </c>
    </row>
    <row r="30" spans="1:13" ht="15.75" customHeight="1">
      <c r="A30" s="1" t="s">
        <v>2313</v>
      </c>
      <c r="B30" s="1" t="str">
        <f>"4062064001696"</f>
        <v>4062064001696</v>
      </c>
      <c r="C30" s="1" t="s">
        <v>2314</v>
      </c>
      <c r="D30" s="2" t="s">
        <v>2301</v>
      </c>
      <c r="E30" s="1" t="s">
        <v>2209</v>
      </c>
      <c r="F30" s="1" t="s">
        <v>2302</v>
      </c>
      <c r="G30" s="1" t="str">
        <f>"6"</f>
        <v>6</v>
      </c>
      <c r="H30" s="1" t="s">
        <v>2303</v>
      </c>
      <c r="I30" s="1" t="s">
        <v>2304</v>
      </c>
      <c r="J30" s="1" t="s">
        <v>2230</v>
      </c>
      <c r="K30" s="3">
        <v>4</v>
      </c>
      <c r="L30" s="4">
        <v>159</v>
      </c>
      <c r="M30" s="4">
        <f t="shared" si="0"/>
        <v>636</v>
      </c>
    </row>
    <row r="31" spans="1:13" ht="15.75" customHeight="1">
      <c r="A31" s="1" t="s">
        <v>2315</v>
      </c>
      <c r="B31" s="1" t="str">
        <f>"4062064001702"</f>
        <v>4062064001702</v>
      </c>
      <c r="C31" s="1" t="s">
        <v>2316</v>
      </c>
      <c r="D31" s="2" t="s">
        <v>2301</v>
      </c>
      <c r="E31" s="1" t="s">
        <v>2209</v>
      </c>
      <c r="F31" s="1" t="s">
        <v>2302</v>
      </c>
      <c r="G31" s="1" t="str">
        <f>"6.5"</f>
        <v>6.5</v>
      </c>
      <c r="H31" s="1" t="s">
        <v>2303</v>
      </c>
      <c r="I31" s="1" t="s">
        <v>2304</v>
      </c>
      <c r="J31" s="1" t="s">
        <v>2230</v>
      </c>
      <c r="K31" s="3">
        <v>3</v>
      </c>
      <c r="L31" s="4">
        <v>159</v>
      </c>
      <c r="M31" s="4">
        <f t="shared" si="0"/>
        <v>477</v>
      </c>
    </row>
    <row r="32" spans="1:13" ht="15.75" customHeight="1">
      <c r="A32" s="1" t="s">
        <v>2317</v>
      </c>
      <c r="B32" s="1" t="str">
        <f>"4065419802320"</f>
        <v>4065419802320</v>
      </c>
      <c r="C32" s="1" t="s">
        <v>2318</v>
      </c>
      <c r="D32" s="2" t="s">
        <v>2319</v>
      </c>
      <c r="E32" s="1" t="s">
        <v>2209</v>
      </c>
      <c r="F32" s="1" t="s">
        <v>2320</v>
      </c>
      <c r="G32" s="1" t="str">
        <f>"5"</f>
        <v>5</v>
      </c>
      <c r="H32" s="1" t="s">
        <v>2321</v>
      </c>
      <c r="I32" s="1" t="s">
        <v>2257</v>
      </c>
      <c r="J32" s="1" t="s">
        <v>2230</v>
      </c>
      <c r="K32" s="3">
        <v>1</v>
      </c>
      <c r="L32" s="4">
        <v>144</v>
      </c>
      <c r="M32" s="4">
        <f t="shared" si="0"/>
        <v>144</v>
      </c>
    </row>
    <row r="33" spans="1:13" ht="15.75" customHeight="1">
      <c r="A33" s="1" t="s">
        <v>2322</v>
      </c>
      <c r="B33" s="1" t="str">
        <f>"4065419802306"</f>
        <v>4065419802306</v>
      </c>
      <c r="C33" s="1" t="s">
        <v>2323</v>
      </c>
      <c r="D33" s="2" t="s">
        <v>2319</v>
      </c>
      <c r="E33" s="1" t="s">
        <v>2209</v>
      </c>
      <c r="F33" s="1" t="s">
        <v>2320</v>
      </c>
      <c r="G33" s="1" t="str">
        <f>"5.5"</f>
        <v>5.5</v>
      </c>
      <c r="H33" s="1" t="s">
        <v>2321</v>
      </c>
      <c r="I33" s="1" t="s">
        <v>2257</v>
      </c>
      <c r="J33" s="1" t="s">
        <v>2230</v>
      </c>
      <c r="K33" s="3">
        <v>2</v>
      </c>
      <c r="L33" s="4">
        <v>144</v>
      </c>
      <c r="M33" s="4">
        <f t="shared" si="0"/>
        <v>288</v>
      </c>
    </row>
    <row r="34" spans="1:13" ht="15.75" customHeight="1">
      <c r="A34" s="1" t="s">
        <v>2324</v>
      </c>
      <c r="B34" s="1" t="str">
        <f>"4065419802399"</f>
        <v>4065419802399</v>
      </c>
      <c r="C34" s="1" t="s">
        <v>2325</v>
      </c>
      <c r="D34" s="2" t="s">
        <v>2319</v>
      </c>
      <c r="E34" s="1" t="s">
        <v>2209</v>
      </c>
      <c r="F34" s="1" t="s">
        <v>2320</v>
      </c>
      <c r="G34" s="1" t="str">
        <f>"6"</f>
        <v>6</v>
      </c>
      <c r="H34" s="1" t="s">
        <v>2321</v>
      </c>
      <c r="I34" s="1" t="s">
        <v>2257</v>
      </c>
      <c r="J34" s="1" t="s">
        <v>2230</v>
      </c>
      <c r="K34" s="3">
        <v>8</v>
      </c>
      <c r="L34" s="4">
        <v>144</v>
      </c>
      <c r="M34" s="4">
        <f t="shared" si="0"/>
        <v>1152</v>
      </c>
    </row>
    <row r="35" spans="1:13" ht="15.75" customHeight="1">
      <c r="A35" s="1" t="s">
        <v>2326</v>
      </c>
      <c r="B35" s="1" t="str">
        <f>"4065419802382"</f>
        <v>4065419802382</v>
      </c>
      <c r="C35" s="1" t="s">
        <v>2327</v>
      </c>
      <c r="D35" s="2" t="s">
        <v>2319</v>
      </c>
      <c r="E35" s="1" t="s">
        <v>2209</v>
      </c>
      <c r="F35" s="1" t="s">
        <v>2320</v>
      </c>
      <c r="G35" s="1" t="str">
        <f>"7"</f>
        <v>7</v>
      </c>
      <c r="H35" s="1" t="s">
        <v>2321</v>
      </c>
      <c r="I35" s="1" t="s">
        <v>2257</v>
      </c>
      <c r="J35" s="1" t="s">
        <v>2230</v>
      </c>
      <c r="K35" s="3">
        <v>6</v>
      </c>
      <c r="L35" s="4">
        <v>144</v>
      </c>
      <c r="M35" s="4">
        <f t="shared" si="0"/>
        <v>864</v>
      </c>
    </row>
    <row r="36" spans="1:13" ht="15.75" customHeight="1">
      <c r="A36" s="1" t="s">
        <v>2328</v>
      </c>
      <c r="B36" s="1" t="str">
        <f>"4065419802344"</f>
        <v>4065419802344</v>
      </c>
      <c r="C36" s="1" t="s">
        <v>2329</v>
      </c>
      <c r="D36" s="2" t="s">
        <v>2319</v>
      </c>
      <c r="E36" s="1" t="s">
        <v>2209</v>
      </c>
      <c r="F36" s="1" t="s">
        <v>2320</v>
      </c>
      <c r="G36" s="1" t="str">
        <f>"7.5"</f>
        <v>7.5</v>
      </c>
      <c r="H36" s="1" t="s">
        <v>2321</v>
      </c>
      <c r="I36" s="1" t="s">
        <v>2257</v>
      </c>
      <c r="J36" s="1" t="s">
        <v>2230</v>
      </c>
      <c r="K36" s="3">
        <v>5</v>
      </c>
      <c r="L36" s="4">
        <v>144</v>
      </c>
      <c r="M36" s="4">
        <f t="shared" si="0"/>
        <v>720</v>
      </c>
    </row>
    <row r="37" spans="1:13" ht="15.75" customHeight="1">
      <c r="A37" s="1" t="s">
        <v>2330</v>
      </c>
      <c r="B37" s="1" t="str">
        <f>"4065419831566"</f>
        <v>4065419831566</v>
      </c>
      <c r="C37" s="1" t="s">
        <v>2331</v>
      </c>
      <c r="D37" s="2" t="s">
        <v>2332</v>
      </c>
      <c r="E37" s="1" t="s">
        <v>2209</v>
      </c>
      <c r="F37" s="1" t="s">
        <v>2333</v>
      </c>
      <c r="G37" s="1" t="str">
        <f>"5"</f>
        <v>5</v>
      </c>
      <c r="H37" s="1" t="s">
        <v>2334</v>
      </c>
      <c r="I37" s="1" t="s">
        <v>2257</v>
      </c>
      <c r="J37" s="1" t="s">
        <v>2230</v>
      </c>
      <c r="K37" s="3">
        <v>4</v>
      </c>
      <c r="L37" s="4">
        <v>144</v>
      </c>
      <c r="M37" s="4">
        <f t="shared" si="0"/>
        <v>576</v>
      </c>
    </row>
    <row r="38" spans="1:13" ht="15.75" customHeight="1">
      <c r="A38" s="1" t="s">
        <v>2335</v>
      </c>
      <c r="B38" s="1" t="str">
        <f>"4065419831535"</f>
        <v>4065419831535</v>
      </c>
      <c r="C38" s="1" t="s">
        <v>2336</v>
      </c>
      <c r="D38" s="2" t="s">
        <v>2332</v>
      </c>
      <c r="E38" s="1" t="s">
        <v>2209</v>
      </c>
      <c r="F38" s="1" t="s">
        <v>2333</v>
      </c>
      <c r="G38" s="1" t="str">
        <f>"5.5"</f>
        <v>5.5</v>
      </c>
      <c r="H38" s="1" t="s">
        <v>2334</v>
      </c>
      <c r="I38" s="1" t="s">
        <v>2257</v>
      </c>
      <c r="J38" s="1" t="s">
        <v>2230</v>
      </c>
      <c r="K38" s="3">
        <v>4</v>
      </c>
      <c r="L38" s="4">
        <v>144</v>
      </c>
      <c r="M38" s="4">
        <f t="shared" si="0"/>
        <v>576</v>
      </c>
    </row>
    <row r="39" spans="1:13" ht="15.75" customHeight="1">
      <c r="A39" s="1" t="s">
        <v>2337</v>
      </c>
      <c r="B39" s="1" t="str">
        <f>"4065419831528"</f>
        <v>4065419831528</v>
      </c>
      <c r="C39" s="1" t="s">
        <v>2338</v>
      </c>
      <c r="D39" s="2" t="s">
        <v>2332</v>
      </c>
      <c r="E39" s="1" t="s">
        <v>2209</v>
      </c>
      <c r="F39" s="1" t="s">
        <v>2333</v>
      </c>
      <c r="G39" s="1" t="str">
        <f>"6"</f>
        <v>6</v>
      </c>
      <c r="H39" s="1" t="s">
        <v>2334</v>
      </c>
      <c r="I39" s="1" t="s">
        <v>2257</v>
      </c>
      <c r="J39" s="1" t="s">
        <v>2230</v>
      </c>
      <c r="K39" s="3">
        <v>7</v>
      </c>
      <c r="L39" s="4">
        <v>144</v>
      </c>
      <c r="M39" s="4">
        <f t="shared" si="0"/>
        <v>1008</v>
      </c>
    </row>
    <row r="40" spans="1:13" ht="15.75" customHeight="1">
      <c r="A40" s="1" t="s">
        <v>2339</v>
      </c>
      <c r="B40" s="1" t="str">
        <f>"4065419835199"</f>
        <v>4065419835199</v>
      </c>
      <c r="C40" s="1" t="s">
        <v>2340</v>
      </c>
      <c r="D40" s="2" t="s">
        <v>2332</v>
      </c>
      <c r="E40" s="1" t="s">
        <v>2209</v>
      </c>
      <c r="F40" s="1" t="s">
        <v>2333</v>
      </c>
      <c r="G40" s="1" t="str">
        <f>"6.5"</f>
        <v>6.5</v>
      </c>
      <c r="H40" s="1" t="s">
        <v>2334</v>
      </c>
      <c r="I40" s="1" t="s">
        <v>2257</v>
      </c>
      <c r="J40" s="1" t="s">
        <v>2230</v>
      </c>
      <c r="K40" s="3">
        <v>11</v>
      </c>
      <c r="L40" s="4">
        <v>144</v>
      </c>
      <c r="M40" s="4">
        <f t="shared" si="0"/>
        <v>1584</v>
      </c>
    </row>
    <row r="41" spans="1:13" ht="15.75" customHeight="1">
      <c r="A41" s="1" t="s">
        <v>2341</v>
      </c>
      <c r="B41" s="1" t="str">
        <f>"4065419831542"</f>
        <v>4065419831542</v>
      </c>
      <c r="C41" s="1" t="s">
        <v>2342</v>
      </c>
      <c r="D41" s="2" t="s">
        <v>2332</v>
      </c>
      <c r="E41" s="1" t="s">
        <v>2209</v>
      </c>
      <c r="F41" s="1" t="s">
        <v>2333</v>
      </c>
      <c r="G41" s="1" t="str">
        <f>"7"</f>
        <v>7</v>
      </c>
      <c r="H41" s="1" t="s">
        <v>2334</v>
      </c>
      <c r="I41" s="1" t="s">
        <v>2257</v>
      </c>
      <c r="J41" s="1" t="s">
        <v>2230</v>
      </c>
      <c r="K41" s="3">
        <v>16</v>
      </c>
      <c r="L41" s="4">
        <v>144</v>
      </c>
      <c r="M41" s="4">
        <f t="shared" si="0"/>
        <v>2304</v>
      </c>
    </row>
    <row r="42" spans="1:13" ht="15.75" customHeight="1">
      <c r="A42" s="1" t="s">
        <v>2343</v>
      </c>
      <c r="B42" s="1" t="str">
        <f>"4065419831450"</f>
        <v>4065419831450</v>
      </c>
      <c r="C42" s="1" t="s">
        <v>2344</v>
      </c>
      <c r="D42" s="2" t="s">
        <v>2332</v>
      </c>
      <c r="E42" s="1" t="s">
        <v>2209</v>
      </c>
      <c r="F42" s="1" t="s">
        <v>2333</v>
      </c>
      <c r="G42" s="1" t="str">
        <f>"7.5"</f>
        <v>7.5</v>
      </c>
      <c r="H42" s="1" t="s">
        <v>2334</v>
      </c>
      <c r="I42" s="1" t="s">
        <v>2257</v>
      </c>
      <c r="J42" s="1" t="s">
        <v>2230</v>
      </c>
      <c r="K42" s="3">
        <v>6</v>
      </c>
      <c r="L42" s="4">
        <v>144</v>
      </c>
      <c r="M42" s="4">
        <f t="shared" si="0"/>
        <v>864</v>
      </c>
    </row>
    <row r="43" spans="1:13" ht="15.75" customHeight="1">
      <c r="A43" s="1" t="s">
        <v>2345</v>
      </c>
      <c r="B43" s="1" t="str">
        <f>"4064037256607"</f>
        <v>4064037256607</v>
      </c>
      <c r="C43" s="1" t="s">
        <v>2346</v>
      </c>
      <c r="D43" s="2" t="s">
        <v>2347</v>
      </c>
      <c r="E43" s="1" t="s">
        <v>2209</v>
      </c>
      <c r="F43" s="1" t="s">
        <v>2348</v>
      </c>
      <c r="G43" s="1" t="s">
        <v>2349</v>
      </c>
      <c r="H43" s="1" t="s">
        <v>2350</v>
      </c>
      <c r="I43" s="1" t="s">
        <v>2351</v>
      </c>
      <c r="J43" s="1" t="s">
        <v>2230</v>
      </c>
      <c r="K43" s="3">
        <v>3</v>
      </c>
      <c r="L43" s="4">
        <v>72</v>
      </c>
      <c r="M43" s="4">
        <f t="shared" si="0"/>
        <v>216</v>
      </c>
    </row>
    <row r="44" spans="1:13" ht="15.75" customHeight="1">
      <c r="A44" s="1" t="s">
        <v>2352</v>
      </c>
      <c r="B44" s="1" t="str">
        <f>"4064037252975"</f>
        <v>4064037252975</v>
      </c>
      <c r="C44" s="1" t="s">
        <v>2353</v>
      </c>
      <c r="D44" s="2" t="s">
        <v>2347</v>
      </c>
      <c r="E44" s="1" t="s">
        <v>2209</v>
      </c>
      <c r="F44" s="1" t="s">
        <v>2348</v>
      </c>
      <c r="G44" s="1" t="s">
        <v>2354</v>
      </c>
      <c r="H44" s="1" t="s">
        <v>2350</v>
      </c>
      <c r="I44" s="1" t="s">
        <v>2351</v>
      </c>
      <c r="J44" s="1" t="s">
        <v>2230</v>
      </c>
      <c r="K44" s="3">
        <v>3</v>
      </c>
      <c r="L44" s="4">
        <v>72</v>
      </c>
      <c r="M44" s="4">
        <f t="shared" si="0"/>
        <v>216</v>
      </c>
    </row>
    <row r="45" spans="1:13" ht="15.75" customHeight="1">
      <c r="A45" s="1" t="s">
        <v>2355</v>
      </c>
      <c r="B45" s="1" t="str">
        <f>"4064037256638"</f>
        <v>4064037256638</v>
      </c>
      <c r="C45" s="1" t="s">
        <v>2356</v>
      </c>
      <c r="D45" s="2" t="s">
        <v>2347</v>
      </c>
      <c r="E45" s="1" t="s">
        <v>2209</v>
      </c>
      <c r="F45" s="1" t="s">
        <v>2348</v>
      </c>
      <c r="G45" s="1" t="s">
        <v>2357</v>
      </c>
      <c r="H45" s="1" t="s">
        <v>2350</v>
      </c>
      <c r="I45" s="1" t="s">
        <v>2351</v>
      </c>
      <c r="J45" s="1" t="s">
        <v>2230</v>
      </c>
      <c r="K45" s="3">
        <v>9</v>
      </c>
      <c r="L45" s="4">
        <v>72</v>
      </c>
      <c r="M45" s="4">
        <f t="shared" si="0"/>
        <v>648</v>
      </c>
    </row>
    <row r="46" spans="1:13" ht="15.75" customHeight="1">
      <c r="A46" s="1" t="s">
        <v>2358</v>
      </c>
      <c r="B46" s="1" t="str">
        <f>"4064037252999"</f>
        <v>4064037252999</v>
      </c>
      <c r="C46" s="1" t="s">
        <v>2359</v>
      </c>
      <c r="D46" s="2" t="s">
        <v>2347</v>
      </c>
      <c r="E46" s="1" t="s">
        <v>2209</v>
      </c>
      <c r="F46" s="1" t="s">
        <v>2348</v>
      </c>
      <c r="G46" s="1" t="s">
        <v>2360</v>
      </c>
      <c r="H46" s="1" t="s">
        <v>2350</v>
      </c>
      <c r="I46" s="1" t="s">
        <v>2351</v>
      </c>
      <c r="J46" s="1" t="s">
        <v>2230</v>
      </c>
      <c r="K46" s="3">
        <v>9</v>
      </c>
      <c r="L46" s="4">
        <v>72</v>
      </c>
      <c r="M46" s="4">
        <f t="shared" si="0"/>
        <v>648</v>
      </c>
    </row>
    <row r="47" spans="1:13" ht="15.75" customHeight="1">
      <c r="A47" s="1" t="s">
        <v>2361</v>
      </c>
      <c r="B47" s="1" t="str">
        <f>"4064037256614"</f>
        <v>4064037256614</v>
      </c>
      <c r="C47" s="1" t="s">
        <v>2362</v>
      </c>
      <c r="D47" s="2" t="s">
        <v>2347</v>
      </c>
      <c r="E47" s="1" t="s">
        <v>2209</v>
      </c>
      <c r="F47" s="1" t="s">
        <v>2348</v>
      </c>
      <c r="G47" s="1" t="s">
        <v>2363</v>
      </c>
      <c r="H47" s="1" t="s">
        <v>2350</v>
      </c>
      <c r="I47" s="1" t="s">
        <v>2351</v>
      </c>
      <c r="J47" s="1" t="s">
        <v>2230</v>
      </c>
      <c r="K47" s="3">
        <v>42</v>
      </c>
      <c r="L47" s="4">
        <v>72</v>
      </c>
      <c r="M47" s="4">
        <f t="shared" si="0"/>
        <v>3024</v>
      </c>
    </row>
    <row r="48" spans="1:13" ht="15.75" customHeight="1">
      <c r="A48" s="1" t="s">
        <v>2364</v>
      </c>
      <c r="B48" s="1" t="str">
        <f>"4064037256621"</f>
        <v>4064037256621</v>
      </c>
      <c r="C48" s="1" t="s">
        <v>2365</v>
      </c>
      <c r="D48" s="2" t="s">
        <v>2347</v>
      </c>
      <c r="E48" s="1" t="s">
        <v>2209</v>
      </c>
      <c r="F48" s="1" t="s">
        <v>2348</v>
      </c>
      <c r="G48" s="1" t="s">
        <v>2366</v>
      </c>
      <c r="H48" s="1" t="s">
        <v>2350</v>
      </c>
      <c r="I48" s="1" t="s">
        <v>2351</v>
      </c>
      <c r="J48" s="1" t="s">
        <v>2230</v>
      </c>
      <c r="K48" s="3">
        <v>13</v>
      </c>
      <c r="L48" s="4">
        <v>72</v>
      </c>
      <c r="M48" s="4">
        <f t="shared" si="0"/>
        <v>936</v>
      </c>
    </row>
    <row r="49" spans="1:13" ht="15.75" customHeight="1">
      <c r="A49" s="1" t="s">
        <v>2367</v>
      </c>
      <c r="B49" s="1" t="str">
        <f>"4064037252876"</f>
        <v>4064037252876</v>
      </c>
      <c r="C49" s="1" t="s">
        <v>2368</v>
      </c>
      <c r="D49" s="2" t="s">
        <v>2369</v>
      </c>
      <c r="E49" s="1" t="s">
        <v>2209</v>
      </c>
      <c r="F49" s="1" t="s">
        <v>2370</v>
      </c>
      <c r="G49" s="1" t="s">
        <v>2349</v>
      </c>
      <c r="H49" s="1" t="s">
        <v>2371</v>
      </c>
      <c r="I49" s="1" t="s">
        <v>2351</v>
      </c>
      <c r="J49" s="1" t="s">
        <v>2230</v>
      </c>
      <c r="K49" s="3">
        <v>2</v>
      </c>
      <c r="L49" s="4">
        <v>72</v>
      </c>
      <c r="M49" s="4">
        <f t="shared" si="0"/>
        <v>144</v>
      </c>
    </row>
    <row r="50" spans="1:13" ht="15.75" customHeight="1">
      <c r="A50" s="1" t="s">
        <v>2372</v>
      </c>
      <c r="B50" s="1" t="str">
        <f>"4064037252852"</f>
        <v>4064037252852</v>
      </c>
      <c r="C50" s="1" t="s">
        <v>2373</v>
      </c>
      <c r="D50" s="2" t="s">
        <v>2369</v>
      </c>
      <c r="E50" s="1" t="s">
        <v>2209</v>
      </c>
      <c r="F50" s="1" t="s">
        <v>2370</v>
      </c>
      <c r="G50" s="1" t="s">
        <v>2354</v>
      </c>
      <c r="H50" s="1" t="s">
        <v>2371</v>
      </c>
      <c r="I50" s="1" t="s">
        <v>2351</v>
      </c>
      <c r="J50" s="1" t="s">
        <v>2230</v>
      </c>
      <c r="K50" s="3">
        <v>4</v>
      </c>
      <c r="L50" s="4">
        <v>72</v>
      </c>
      <c r="M50" s="4">
        <f t="shared" si="0"/>
        <v>288</v>
      </c>
    </row>
    <row r="51" spans="1:13" ht="15.75" customHeight="1">
      <c r="A51" s="1" t="s">
        <v>2374</v>
      </c>
      <c r="B51" s="1" t="str">
        <f>"4064037252821"</f>
        <v>4064037252821</v>
      </c>
      <c r="C51" s="1" t="s">
        <v>2375</v>
      </c>
      <c r="D51" s="2" t="s">
        <v>2369</v>
      </c>
      <c r="E51" s="1" t="s">
        <v>2209</v>
      </c>
      <c r="F51" s="1" t="s">
        <v>2370</v>
      </c>
      <c r="G51" s="1" t="s">
        <v>2357</v>
      </c>
      <c r="H51" s="1" t="s">
        <v>2371</v>
      </c>
      <c r="I51" s="1" t="s">
        <v>2351</v>
      </c>
      <c r="J51" s="1" t="s">
        <v>2230</v>
      </c>
      <c r="K51" s="3">
        <v>8</v>
      </c>
      <c r="L51" s="4">
        <v>72</v>
      </c>
      <c r="M51" s="4">
        <f t="shared" si="0"/>
        <v>576</v>
      </c>
    </row>
    <row r="52" spans="1:13" ht="15.75" customHeight="1">
      <c r="A52" s="1" t="s">
        <v>2376</v>
      </c>
      <c r="B52" s="1" t="str">
        <f>"4064037252807"</f>
        <v>4064037252807</v>
      </c>
      <c r="C52" s="1" t="s">
        <v>2377</v>
      </c>
      <c r="D52" s="2" t="s">
        <v>2369</v>
      </c>
      <c r="E52" s="1" t="s">
        <v>2209</v>
      </c>
      <c r="F52" s="1" t="s">
        <v>2370</v>
      </c>
      <c r="G52" s="1" t="s">
        <v>2360</v>
      </c>
      <c r="H52" s="1" t="s">
        <v>2371</v>
      </c>
      <c r="I52" s="1" t="s">
        <v>2351</v>
      </c>
      <c r="J52" s="1" t="s">
        <v>2230</v>
      </c>
      <c r="K52" s="3">
        <v>10</v>
      </c>
      <c r="L52" s="4">
        <v>72</v>
      </c>
      <c r="M52" s="4">
        <f t="shared" si="0"/>
        <v>720</v>
      </c>
    </row>
    <row r="53" spans="1:13" ht="15.75" customHeight="1">
      <c r="A53" s="1" t="s">
        <v>2378</v>
      </c>
      <c r="B53" s="1" t="str">
        <f>"4064037252814"</f>
        <v>4064037252814</v>
      </c>
      <c r="C53" s="1" t="s">
        <v>2379</v>
      </c>
      <c r="D53" s="2" t="s">
        <v>2369</v>
      </c>
      <c r="E53" s="1" t="s">
        <v>2209</v>
      </c>
      <c r="F53" s="1" t="s">
        <v>2370</v>
      </c>
      <c r="G53" s="1" t="s">
        <v>2363</v>
      </c>
      <c r="H53" s="1" t="s">
        <v>2371</v>
      </c>
      <c r="I53" s="1" t="s">
        <v>2351</v>
      </c>
      <c r="J53" s="1" t="s">
        <v>2230</v>
      </c>
      <c r="K53" s="3">
        <v>11</v>
      </c>
      <c r="L53" s="4">
        <v>72</v>
      </c>
      <c r="M53" s="4">
        <f t="shared" si="0"/>
        <v>792</v>
      </c>
    </row>
    <row r="54" spans="1:13" ht="15.75" customHeight="1">
      <c r="A54" s="1" t="s">
        <v>2380</v>
      </c>
      <c r="B54" s="1" t="str">
        <f>"4064037252845"</f>
        <v>4064037252845</v>
      </c>
      <c r="C54" s="1" t="s">
        <v>2381</v>
      </c>
      <c r="D54" s="2" t="s">
        <v>2369</v>
      </c>
      <c r="E54" s="1" t="s">
        <v>2209</v>
      </c>
      <c r="F54" s="1" t="s">
        <v>2370</v>
      </c>
      <c r="G54" s="1" t="s">
        <v>2366</v>
      </c>
      <c r="H54" s="1" t="s">
        <v>2371</v>
      </c>
      <c r="I54" s="1" t="s">
        <v>2351</v>
      </c>
      <c r="J54" s="1" t="s">
        <v>2230</v>
      </c>
      <c r="K54" s="3">
        <v>7</v>
      </c>
      <c r="L54" s="4">
        <v>72</v>
      </c>
      <c r="M54" s="4">
        <f t="shared" si="0"/>
        <v>504</v>
      </c>
    </row>
    <row r="55" spans="1:13" ht="15.75" customHeight="1">
      <c r="A55" s="1" t="s">
        <v>2382</v>
      </c>
      <c r="B55" s="1" t="str">
        <f>"4062052492376"</f>
        <v>4062052492376</v>
      </c>
      <c r="C55" s="1" t="s">
        <v>2383</v>
      </c>
      <c r="D55" s="2" t="s">
        <v>2384</v>
      </c>
      <c r="E55" s="1" t="s">
        <v>2209</v>
      </c>
      <c r="F55" s="1" t="s">
        <v>2385</v>
      </c>
      <c r="G55" s="1" t="s">
        <v>2386</v>
      </c>
      <c r="H55" s="1" t="s">
        <v>2387</v>
      </c>
      <c r="I55" s="1" t="s">
        <v>2351</v>
      </c>
      <c r="J55" s="1" t="s">
        <v>2230</v>
      </c>
      <c r="K55" s="3">
        <v>4</v>
      </c>
      <c r="L55" s="4">
        <v>72</v>
      </c>
      <c r="M55" s="4">
        <f t="shared" si="0"/>
        <v>288</v>
      </c>
    </row>
    <row r="56" spans="1:13" ht="15.75" customHeight="1">
      <c r="A56" s="1" t="s">
        <v>2388</v>
      </c>
      <c r="B56" s="1" t="str">
        <f>"4062052492444"</f>
        <v>4062052492444</v>
      </c>
      <c r="C56" s="1" t="s">
        <v>2389</v>
      </c>
      <c r="D56" s="2" t="s">
        <v>2384</v>
      </c>
      <c r="E56" s="1" t="s">
        <v>2209</v>
      </c>
      <c r="F56" s="1" t="s">
        <v>2385</v>
      </c>
      <c r="G56" s="1" t="s">
        <v>2349</v>
      </c>
      <c r="H56" s="1" t="s">
        <v>2387</v>
      </c>
      <c r="I56" s="1" t="s">
        <v>2351</v>
      </c>
      <c r="J56" s="1" t="s">
        <v>2230</v>
      </c>
      <c r="K56" s="3">
        <v>4</v>
      </c>
      <c r="L56" s="4">
        <v>72</v>
      </c>
      <c r="M56" s="4">
        <f t="shared" si="0"/>
        <v>288</v>
      </c>
    </row>
    <row r="57" spans="1:13" ht="15.75" customHeight="1">
      <c r="A57" s="1" t="s">
        <v>2390</v>
      </c>
      <c r="B57" s="1" t="str">
        <f>"4062052492383"</f>
        <v>4062052492383</v>
      </c>
      <c r="C57" s="1" t="s">
        <v>2391</v>
      </c>
      <c r="D57" s="2" t="s">
        <v>2384</v>
      </c>
      <c r="E57" s="1" t="s">
        <v>2209</v>
      </c>
      <c r="F57" s="1" t="s">
        <v>2385</v>
      </c>
      <c r="G57" s="1" t="s">
        <v>2354</v>
      </c>
      <c r="H57" s="1" t="s">
        <v>2387</v>
      </c>
      <c r="I57" s="1" t="s">
        <v>2351</v>
      </c>
      <c r="J57" s="1" t="s">
        <v>2230</v>
      </c>
      <c r="K57" s="3">
        <v>4</v>
      </c>
      <c r="L57" s="4">
        <v>72</v>
      </c>
      <c r="M57" s="4">
        <f t="shared" si="0"/>
        <v>288</v>
      </c>
    </row>
    <row r="58" spans="1:13" ht="15.75" customHeight="1">
      <c r="A58" s="1" t="s">
        <v>2392</v>
      </c>
      <c r="B58" s="1" t="str">
        <f>"4062052492390"</f>
        <v>4062052492390</v>
      </c>
      <c r="C58" s="1" t="s">
        <v>2393</v>
      </c>
      <c r="D58" s="2" t="s">
        <v>2384</v>
      </c>
      <c r="E58" s="1" t="s">
        <v>2209</v>
      </c>
      <c r="F58" s="1" t="s">
        <v>2385</v>
      </c>
      <c r="G58" s="1" t="s">
        <v>2357</v>
      </c>
      <c r="H58" s="1" t="s">
        <v>2387</v>
      </c>
      <c r="I58" s="1" t="s">
        <v>2351</v>
      </c>
      <c r="J58" s="1" t="s">
        <v>2230</v>
      </c>
      <c r="K58" s="3">
        <v>8</v>
      </c>
      <c r="L58" s="4">
        <v>72</v>
      </c>
      <c r="M58" s="4">
        <f t="shared" si="0"/>
        <v>576</v>
      </c>
    </row>
    <row r="59" spans="1:13" ht="15.75" customHeight="1">
      <c r="A59" s="1" t="s">
        <v>2394</v>
      </c>
      <c r="B59" s="1" t="str">
        <f>"4062052492406"</f>
        <v>4062052492406</v>
      </c>
      <c r="C59" s="1" t="s">
        <v>2395</v>
      </c>
      <c r="D59" s="2" t="s">
        <v>2384</v>
      </c>
      <c r="E59" s="1" t="s">
        <v>2209</v>
      </c>
      <c r="F59" s="1" t="s">
        <v>2385</v>
      </c>
      <c r="G59" s="1" t="s">
        <v>2360</v>
      </c>
      <c r="H59" s="1" t="s">
        <v>2387</v>
      </c>
      <c r="I59" s="1" t="s">
        <v>2351</v>
      </c>
      <c r="J59" s="1" t="s">
        <v>2230</v>
      </c>
      <c r="K59" s="3">
        <v>9</v>
      </c>
      <c r="L59" s="4">
        <v>72</v>
      </c>
      <c r="M59" s="4">
        <f t="shared" si="0"/>
        <v>648</v>
      </c>
    </row>
    <row r="60" spans="1:13" ht="15.75" customHeight="1">
      <c r="A60" s="1" t="s">
        <v>2396</v>
      </c>
      <c r="B60" s="1" t="str">
        <f>"4062052492413"</f>
        <v>4062052492413</v>
      </c>
      <c r="C60" s="1" t="s">
        <v>2397</v>
      </c>
      <c r="D60" s="2" t="s">
        <v>2384</v>
      </c>
      <c r="E60" s="1" t="s">
        <v>2209</v>
      </c>
      <c r="F60" s="1" t="s">
        <v>2385</v>
      </c>
      <c r="G60" s="1" t="s">
        <v>2363</v>
      </c>
      <c r="H60" s="1" t="s">
        <v>2387</v>
      </c>
      <c r="I60" s="1" t="s">
        <v>2351</v>
      </c>
      <c r="J60" s="1" t="s">
        <v>2230</v>
      </c>
      <c r="K60" s="3">
        <v>20</v>
      </c>
      <c r="L60" s="4">
        <v>72</v>
      </c>
      <c r="M60" s="4">
        <f t="shared" si="0"/>
        <v>1440</v>
      </c>
    </row>
    <row r="61" spans="1:13" ht="15.75" customHeight="1">
      <c r="A61" s="1" t="s">
        <v>2398</v>
      </c>
      <c r="B61" s="1" t="str">
        <f>"4062052492420"</f>
        <v>4062052492420</v>
      </c>
      <c r="C61" s="1" t="s">
        <v>2399</v>
      </c>
      <c r="D61" s="2" t="s">
        <v>2384</v>
      </c>
      <c r="E61" s="1" t="s">
        <v>2209</v>
      </c>
      <c r="F61" s="1" t="s">
        <v>2385</v>
      </c>
      <c r="G61" s="1" t="s">
        <v>2366</v>
      </c>
      <c r="H61" s="1" t="s">
        <v>2387</v>
      </c>
      <c r="I61" s="1" t="s">
        <v>2351</v>
      </c>
      <c r="J61" s="1" t="s">
        <v>2230</v>
      </c>
      <c r="K61" s="3">
        <v>18</v>
      </c>
      <c r="L61" s="4">
        <v>72</v>
      </c>
      <c r="M61" s="4">
        <f t="shared" si="0"/>
        <v>1296</v>
      </c>
    </row>
    <row r="62" spans="1:13" ht="15.75" customHeight="1">
      <c r="A62" s="1" t="s">
        <v>2400</v>
      </c>
      <c r="B62" s="1" t="str">
        <f>"840218937701"</f>
        <v>840218937701</v>
      </c>
      <c r="C62" s="1" t="s">
        <v>2401</v>
      </c>
      <c r="D62" s="2" t="s">
        <v>2402</v>
      </c>
      <c r="E62" s="1" t="s">
        <v>2403</v>
      </c>
      <c r="F62" s="1" t="s">
        <v>2404</v>
      </c>
      <c r="G62" s="1" t="s">
        <v>2405</v>
      </c>
      <c r="H62" s="1" t="s">
        <v>2406</v>
      </c>
      <c r="I62" s="1" t="s">
        <v>2257</v>
      </c>
      <c r="J62" s="1" t="s">
        <v>2214</v>
      </c>
      <c r="K62" s="3">
        <v>41</v>
      </c>
      <c r="L62" s="4">
        <v>98</v>
      </c>
      <c r="M62" s="4">
        <f t="shared" si="0"/>
        <v>4018</v>
      </c>
    </row>
    <row r="63" spans="1:13" ht="15.75" customHeight="1">
      <c r="A63" s="1" t="s">
        <v>2407</v>
      </c>
      <c r="B63" s="1" t="str">
        <f>"840218937688"</f>
        <v>840218937688</v>
      </c>
      <c r="C63" s="1" t="s">
        <v>2408</v>
      </c>
      <c r="D63" s="2" t="s">
        <v>2402</v>
      </c>
      <c r="E63" s="1" t="s">
        <v>2403</v>
      </c>
      <c r="F63" s="1" t="s">
        <v>2404</v>
      </c>
      <c r="G63" s="1" t="s">
        <v>2211</v>
      </c>
      <c r="H63" s="1"/>
      <c r="I63" s="1" t="s">
        <v>2257</v>
      </c>
      <c r="J63" s="1" t="s">
        <v>2214</v>
      </c>
      <c r="K63" s="3">
        <v>116</v>
      </c>
      <c r="L63" s="4">
        <v>98</v>
      </c>
      <c r="M63" s="4">
        <f t="shared" si="0"/>
        <v>11368</v>
      </c>
    </row>
    <row r="64" spans="1:13" ht="15.75" customHeight="1">
      <c r="A64" s="1" t="s">
        <v>2409</v>
      </c>
      <c r="B64" s="1" t="str">
        <f>"840218937671"</f>
        <v>840218937671</v>
      </c>
      <c r="C64" s="1" t="s">
        <v>2410</v>
      </c>
      <c r="D64" s="2" t="s">
        <v>2402</v>
      </c>
      <c r="E64" s="1" t="s">
        <v>2403</v>
      </c>
      <c r="F64" s="1" t="s">
        <v>2404</v>
      </c>
      <c r="G64" s="1" t="s">
        <v>2411</v>
      </c>
      <c r="H64" s="1" t="s">
        <v>2412</v>
      </c>
      <c r="I64" s="1" t="s">
        <v>2257</v>
      </c>
      <c r="J64" s="1" t="s">
        <v>2214</v>
      </c>
      <c r="K64" s="3">
        <v>256</v>
      </c>
      <c r="L64" s="4">
        <v>98</v>
      </c>
      <c r="M64" s="4">
        <f t="shared" si="0"/>
        <v>25088</v>
      </c>
    </row>
    <row r="65" spans="1:13" ht="15.75" customHeight="1">
      <c r="A65" s="1" t="s">
        <v>2413</v>
      </c>
      <c r="B65" s="1" t="str">
        <f>"840218937664"</f>
        <v>840218937664</v>
      </c>
      <c r="C65" s="1" t="s">
        <v>2414</v>
      </c>
      <c r="D65" s="2" t="s">
        <v>2402</v>
      </c>
      <c r="E65" s="1" t="s">
        <v>2403</v>
      </c>
      <c r="F65" s="1" t="s">
        <v>2404</v>
      </c>
      <c r="G65" s="1" t="s">
        <v>2219</v>
      </c>
      <c r="H65" s="1" t="s">
        <v>2415</v>
      </c>
      <c r="I65" s="1" t="s">
        <v>2257</v>
      </c>
      <c r="J65" s="1" t="s">
        <v>2214</v>
      </c>
      <c r="K65" s="3">
        <v>344</v>
      </c>
      <c r="L65" s="4">
        <v>98</v>
      </c>
      <c r="M65" s="4">
        <f t="shared" si="0"/>
        <v>33712</v>
      </c>
    </row>
    <row r="66" spans="1:13" ht="15.75" customHeight="1">
      <c r="A66" s="1" t="s">
        <v>2416</v>
      </c>
      <c r="B66" s="1" t="str">
        <f>"840218937695"</f>
        <v>840218937695</v>
      </c>
      <c r="C66" s="1" t="s">
        <v>2417</v>
      </c>
      <c r="D66" s="2" t="s">
        <v>2402</v>
      </c>
      <c r="E66" s="1" t="s">
        <v>2403</v>
      </c>
      <c r="F66" s="1" t="s">
        <v>2404</v>
      </c>
      <c r="G66" s="1" t="s">
        <v>2418</v>
      </c>
      <c r="H66" s="1" t="s">
        <v>2419</v>
      </c>
      <c r="I66" s="1" t="s">
        <v>2257</v>
      </c>
      <c r="J66" s="1" t="s">
        <v>2214</v>
      </c>
      <c r="K66" s="3">
        <v>51</v>
      </c>
      <c r="L66" s="4">
        <v>98</v>
      </c>
      <c r="M66" s="4">
        <f t="shared" ref="M66:M129" si="1">L66*K66</f>
        <v>4998</v>
      </c>
    </row>
    <row r="67" spans="1:13" ht="15.75" customHeight="1">
      <c r="A67" s="1" t="s">
        <v>2420</v>
      </c>
      <c r="B67" s="1" t="str">
        <f>"840218937657"</f>
        <v>840218937657</v>
      </c>
      <c r="C67" s="1" t="s">
        <v>2421</v>
      </c>
      <c r="D67" s="2" t="s">
        <v>2402</v>
      </c>
      <c r="E67" s="1" t="s">
        <v>2403</v>
      </c>
      <c r="F67" s="1" t="s">
        <v>2404</v>
      </c>
      <c r="G67" s="1" t="s">
        <v>2422</v>
      </c>
      <c r="H67" s="1" t="s">
        <v>2423</v>
      </c>
      <c r="I67" s="1" t="s">
        <v>2257</v>
      </c>
      <c r="J67" s="1" t="s">
        <v>2214</v>
      </c>
      <c r="K67" s="3">
        <v>91</v>
      </c>
      <c r="L67" s="4">
        <v>98</v>
      </c>
      <c r="M67" s="4">
        <f t="shared" si="1"/>
        <v>8918</v>
      </c>
    </row>
    <row r="68" spans="1:13" ht="15.75" customHeight="1">
      <c r="A68" s="1" t="s">
        <v>2424</v>
      </c>
      <c r="B68" s="1" t="str">
        <f>"731990248904"</f>
        <v>731990248904</v>
      </c>
      <c r="C68" s="1" t="s">
        <v>2425</v>
      </c>
      <c r="D68" s="2" t="s">
        <v>2426</v>
      </c>
      <c r="E68" s="1" t="s">
        <v>2427</v>
      </c>
      <c r="F68" s="1" t="s">
        <v>2427</v>
      </c>
      <c r="G68" s="1" t="s">
        <v>2211</v>
      </c>
      <c r="H68" s="1"/>
      <c r="I68" s="1" t="s">
        <v>2220</v>
      </c>
      <c r="J68" s="1" t="s">
        <v>2428</v>
      </c>
      <c r="K68" s="3">
        <v>85</v>
      </c>
      <c r="L68" s="4">
        <v>40</v>
      </c>
      <c r="M68" s="4">
        <f t="shared" si="1"/>
        <v>3400</v>
      </c>
    </row>
    <row r="69" spans="1:13" ht="15.75" customHeight="1">
      <c r="A69" s="1" t="s">
        <v>2429</v>
      </c>
      <c r="B69" s="1" t="str">
        <f>"731990240151"</f>
        <v>731990240151</v>
      </c>
      <c r="C69" s="1" t="s">
        <v>2430</v>
      </c>
      <c r="D69" s="2" t="s">
        <v>2431</v>
      </c>
      <c r="E69" s="1" t="s">
        <v>2427</v>
      </c>
      <c r="F69" s="1" t="s">
        <v>2427</v>
      </c>
      <c r="G69" s="1" t="s">
        <v>2211</v>
      </c>
      <c r="H69" s="1"/>
      <c r="I69" s="1" t="s">
        <v>2220</v>
      </c>
      <c r="J69" s="1" t="s">
        <v>2432</v>
      </c>
      <c r="K69" s="3">
        <v>141</v>
      </c>
      <c r="L69" s="4">
        <v>55</v>
      </c>
      <c r="M69" s="4">
        <f t="shared" si="1"/>
        <v>7755</v>
      </c>
    </row>
    <row r="70" spans="1:13" ht="15.75" customHeight="1">
      <c r="A70" s="1" t="s">
        <v>2433</v>
      </c>
      <c r="B70" s="1" t="str">
        <f>"731990240144"</f>
        <v>731990240144</v>
      </c>
      <c r="C70" s="1" t="s">
        <v>2434</v>
      </c>
      <c r="D70" s="2" t="s">
        <v>2431</v>
      </c>
      <c r="E70" s="1" t="s">
        <v>2427</v>
      </c>
      <c r="F70" s="1" t="s">
        <v>2427</v>
      </c>
      <c r="G70" s="1" t="s">
        <v>2411</v>
      </c>
      <c r="H70" s="1"/>
      <c r="I70" s="1" t="s">
        <v>2220</v>
      </c>
      <c r="J70" s="1" t="s">
        <v>2432</v>
      </c>
      <c r="K70" s="3">
        <v>102</v>
      </c>
      <c r="L70" s="4">
        <v>55</v>
      </c>
      <c r="M70" s="4">
        <f t="shared" si="1"/>
        <v>5610</v>
      </c>
    </row>
    <row r="71" spans="1:13" ht="15.75" customHeight="1">
      <c r="A71" s="1" t="s">
        <v>2435</v>
      </c>
      <c r="B71" s="1" t="str">
        <f>"731990240137"</f>
        <v>731990240137</v>
      </c>
      <c r="C71" s="1" t="s">
        <v>2436</v>
      </c>
      <c r="D71" s="2" t="s">
        <v>2431</v>
      </c>
      <c r="E71" s="1" t="s">
        <v>2427</v>
      </c>
      <c r="F71" s="1" t="s">
        <v>2427</v>
      </c>
      <c r="G71" s="1" t="s">
        <v>2219</v>
      </c>
      <c r="H71" s="1"/>
      <c r="I71" s="1" t="s">
        <v>2220</v>
      </c>
      <c r="J71" s="1" t="s">
        <v>2432</v>
      </c>
      <c r="K71" s="3">
        <v>150</v>
      </c>
      <c r="L71" s="4">
        <v>55</v>
      </c>
      <c r="M71" s="4">
        <f t="shared" si="1"/>
        <v>8250</v>
      </c>
    </row>
    <row r="72" spans="1:13" ht="15.75" customHeight="1">
      <c r="A72" s="1" t="s">
        <v>2437</v>
      </c>
      <c r="B72" s="1" t="str">
        <f>"731990240168"</f>
        <v>731990240168</v>
      </c>
      <c r="C72" s="1" t="s">
        <v>2438</v>
      </c>
      <c r="D72" s="2" t="s">
        <v>2431</v>
      </c>
      <c r="E72" s="1" t="s">
        <v>2427</v>
      </c>
      <c r="F72" s="1" t="s">
        <v>2427</v>
      </c>
      <c r="G72" s="1" t="s">
        <v>2418</v>
      </c>
      <c r="H72" s="1"/>
      <c r="I72" s="1" t="s">
        <v>2220</v>
      </c>
      <c r="J72" s="1" t="s">
        <v>2432</v>
      </c>
      <c r="K72" s="3">
        <v>27</v>
      </c>
      <c r="L72" s="4">
        <v>55</v>
      </c>
      <c r="M72" s="4">
        <f t="shared" si="1"/>
        <v>1485</v>
      </c>
    </row>
    <row r="73" spans="1:13" ht="15.75" customHeight="1">
      <c r="A73" s="1" t="s">
        <v>2439</v>
      </c>
      <c r="B73" s="1" t="str">
        <f>"731990240045"</f>
        <v>731990240045</v>
      </c>
      <c r="C73" s="1" t="s">
        <v>2440</v>
      </c>
      <c r="D73" s="2" t="s">
        <v>2441</v>
      </c>
      <c r="E73" s="1" t="s">
        <v>2427</v>
      </c>
      <c r="F73" s="1" t="s">
        <v>2427</v>
      </c>
      <c r="G73" s="1" t="s">
        <v>2211</v>
      </c>
      <c r="H73" s="1"/>
      <c r="I73" s="1" t="s">
        <v>2257</v>
      </c>
      <c r="J73" s="1" t="s">
        <v>2432</v>
      </c>
      <c r="K73" s="3">
        <v>118</v>
      </c>
      <c r="L73" s="4">
        <v>59</v>
      </c>
      <c r="M73" s="4">
        <f t="shared" si="1"/>
        <v>6962</v>
      </c>
    </row>
    <row r="74" spans="1:13" ht="15.75" customHeight="1">
      <c r="A74" s="1" t="s">
        <v>2442</v>
      </c>
      <c r="B74" s="1" t="str">
        <f>"731990240038"</f>
        <v>731990240038</v>
      </c>
      <c r="C74" s="1" t="s">
        <v>2443</v>
      </c>
      <c r="D74" s="2" t="s">
        <v>2441</v>
      </c>
      <c r="E74" s="1" t="s">
        <v>2427</v>
      </c>
      <c r="F74" s="1" t="s">
        <v>2427</v>
      </c>
      <c r="G74" s="1" t="s">
        <v>2411</v>
      </c>
      <c r="H74" s="1"/>
      <c r="I74" s="1" t="s">
        <v>2257</v>
      </c>
      <c r="J74" s="1" t="s">
        <v>2432</v>
      </c>
      <c r="K74" s="3">
        <v>234</v>
      </c>
      <c r="L74" s="4">
        <v>59</v>
      </c>
      <c r="M74" s="4">
        <f t="shared" si="1"/>
        <v>13806</v>
      </c>
    </row>
    <row r="75" spans="1:13" ht="15.75" customHeight="1">
      <c r="A75" s="1" t="s">
        <v>2444</v>
      </c>
      <c r="B75" s="1" t="str">
        <f>"731990240021"</f>
        <v>731990240021</v>
      </c>
      <c r="C75" s="1" t="s">
        <v>2445</v>
      </c>
      <c r="D75" s="2" t="s">
        <v>2441</v>
      </c>
      <c r="E75" s="1" t="s">
        <v>2427</v>
      </c>
      <c r="F75" s="1" t="s">
        <v>2427</v>
      </c>
      <c r="G75" s="1" t="s">
        <v>2219</v>
      </c>
      <c r="H75" s="1"/>
      <c r="I75" s="1" t="s">
        <v>2257</v>
      </c>
      <c r="J75" s="1" t="s">
        <v>2432</v>
      </c>
      <c r="K75" s="3">
        <v>139</v>
      </c>
      <c r="L75" s="4">
        <v>59</v>
      </c>
      <c r="M75" s="4">
        <f t="shared" si="1"/>
        <v>8201</v>
      </c>
    </row>
    <row r="76" spans="1:13" ht="15.75" customHeight="1">
      <c r="A76" s="1" t="s">
        <v>2446</v>
      </c>
      <c r="B76" s="1" t="str">
        <f>"731990240014"</f>
        <v>731990240014</v>
      </c>
      <c r="C76" s="1" t="s">
        <v>2447</v>
      </c>
      <c r="D76" s="2" t="s">
        <v>2441</v>
      </c>
      <c r="E76" s="1" t="s">
        <v>2427</v>
      </c>
      <c r="F76" s="1" t="s">
        <v>2427</v>
      </c>
      <c r="G76" s="1" t="s">
        <v>2422</v>
      </c>
      <c r="H76" s="1"/>
      <c r="I76" s="1" t="s">
        <v>2257</v>
      </c>
      <c r="J76" s="1" t="s">
        <v>2432</v>
      </c>
      <c r="K76" s="3">
        <v>87</v>
      </c>
      <c r="L76" s="4">
        <v>59</v>
      </c>
      <c r="M76" s="4">
        <f t="shared" si="1"/>
        <v>5133</v>
      </c>
    </row>
    <row r="77" spans="1:13" ht="15.75" customHeight="1">
      <c r="A77" s="1" t="s">
        <v>2448</v>
      </c>
      <c r="B77" s="1" t="str">
        <f>"731990249000"</f>
        <v>731990249000</v>
      </c>
      <c r="C77" s="1" t="s">
        <v>2449</v>
      </c>
      <c r="D77" s="2" t="s">
        <v>2450</v>
      </c>
      <c r="E77" s="1" t="s">
        <v>2427</v>
      </c>
      <c r="F77" s="1" t="s">
        <v>2427</v>
      </c>
      <c r="G77" s="1" t="s">
        <v>2451</v>
      </c>
      <c r="H77" s="1"/>
      <c r="I77" s="1" t="s">
        <v>2304</v>
      </c>
      <c r="J77" s="1" t="s">
        <v>2452</v>
      </c>
      <c r="K77" s="3">
        <v>407</v>
      </c>
      <c r="L77" s="4">
        <v>38.99</v>
      </c>
      <c r="M77" s="4">
        <f t="shared" si="1"/>
        <v>15868.93</v>
      </c>
    </row>
    <row r="78" spans="1:13" ht="15.75" customHeight="1">
      <c r="A78" s="1" t="s">
        <v>2453</v>
      </c>
      <c r="B78" s="1" t="str">
        <f>"889918808423"</f>
        <v>889918808423</v>
      </c>
      <c r="C78" s="1" t="s">
        <v>2454</v>
      </c>
      <c r="D78" s="2" t="s">
        <v>2455</v>
      </c>
      <c r="E78" s="1" t="s">
        <v>2456</v>
      </c>
      <c r="F78" s="1" t="s">
        <v>2457</v>
      </c>
      <c r="G78" s="1" t="str">
        <f>"5"</f>
        <v>5</v>
      </c>
      <c r="H78" s="1" t="s">
        <v>2458</v>
      </c>
      <c r="I78" s="1" t="s">
        <v>2257</v>
      </c>
      <c r="J78" s="1" t="s">
        <v>2230</v>
      </c>
      <c r="K78" s="3">
        <v>1</v>
      </c>
      <c r="L78" s="4">
        <v>60</v>
      </c>
      <c r="M78" s="4">
        <f t="shared" si="1"/>
        <v>60</v>
      </c>
    </row>
    <row r="79" spans="1:13" ht="15.75" customHeight="1">
      <c r="A79" s="1" t="s">
        <v>2459</v>
      </c>
      <c r="B79" s="1" t="str">
        <f>"889918808430"</f>
        <v>889918808430</v>
      </c>
      <c r="C79" s="1" t="s">
        <v>2460</v>
      </c>
      <c r="D79" s="2" t="s">
        <v>2455</v>
      </c>
      <c r="E79" s="1" t="s">
        <v>2456</v>
      </c>
      <c r="F79" s="1" t="s">
        <v>2457</v>
      </c>
      <c r="G79" s="1" t="str">
        <f>"6"</f>
        <v>6</v>
      </c>
      <c r="H79" s="1" t="s">
        <v>2458</v>
      </c>
      <c r="I79" s="1" t="s">
        <v>2257</v>
      </c>
      <c r="J79" s="1" t="s">
        <v>2230</v>
      </c>
      <c r="K79" s="3">
        <v>13</v>
      </c>
      <c r="L79" s="4">
        <v>60</v>
      </c>
      <c r="M79" s="4">
        <f t="shared" si="1"/>
        <v>780</v>
      </c>
    </row>
    <row r="80" spans="1:13" ht="15.75" customHeight="1">
      <c r="A80" s="1" t="s">
        <v>2461</v>
      </c>
      <c r="B80" s="1" t="str">
        <f>"889918808447"</f>
        <v>889918808447</v>
      </c>
      <c r="C80" s="1" t="s">
        <v>2462</v>
      </c>
      <c r="D80" s="2" t="s">
        <v>2455</v>
      </c>
      <c r="E80" s="1" t="s">
        <v>2456</v>
      </c>
      <c r="F80" s="1" t="s">
        <v>2457</v>
      </c>
      <c r="G80" s="1" t="str">
        <f>"7"</f>
        <v>7</v>
      </c>
      <c r="H80" s="1" t="s">
        <v>2458</v>
      </c>
      <c r="I80" s="1" t="s">
        <v>2257</v>
      </c>
      <c r="J80" s="1" t="s">
        <v>2230</v>
      </c>
      <c r="K80" s="3">
        <v>55</v>
      </c>
      <c r="L80" s="4">
        <v>60</v>
      </c>
      <c r="M80" s="4">
        <f t="shared" si="1"/>
        <v>3300</v>
      </c>
    </row>
    <row r="81" spans="1:13" ht="15.75" customHeight="1">
      <c r="A81" s="1" t="s">
        <v>2463</v>
      </c>
      <c r="B81" s="1" t="str">
        <f>"889918808454"</f>
        <v>889918808454</v>
      </c>
      <c r="C81" s="1" t="s">
        <v>2464</v>
      </c>
      <c r="D81" s="2" t="s">
        <v>2455</v>
      </c>
      <c r="E81" s="1" t="s">
        <v>2456</v>
      </c>
      <c r="F81" s="1" t="s">
        <v>2457</v>
      </c>
      <c r="G81" s="1" t="str">
        <f>"8"</f>
        <v>8</v>
      </c>
      <c r="H81" s="1" t="s">
        <v>2458</v>
      </c>
      <c r="I81" s="1" t="s">
        <v>2257</v>
      </c>
      <c r="J81" s="1" t="s">
        <v>2230</v>
      </c>
      <c r="K81" s="3">
        <v>65</v>
      </c>
      <c r="L81" s="4">
        <v>60</v>
      </c>
      <c r="M81" s="4">
        <f t="shared" si="1"/>
        <v>3900</v>
      </c>
    </row>
    <row r="82" spans="1:13" ht="15.75" customHeight="1">
      <c r="A82" s="1" t="s">
        <v>2465</v>
      </c>
      <c r="B82" s="1" t="str">
        <f>"889918808461"</f>
        <v>889918808461</v>
      </c>
      <c r="C82" s="1" t="s">
        <v>2466</v>
      </c>
      <c r="D82" s="2" t="s">
        <v>2455</v>
      </c>
      <c r="E82" s="1" t="s">
        <v>2456</v>
      </c>
      <c r="F82" s="1" t="s">
        <v>2457</v>
      </c>
      <c r="G82" s="1" t="str">
        <f>"9"</f>
        <v>9</v>
      </c>
      <c r="H82" s="1" t="s">
        <v>2458</v>
      </c>
      <c r="I82" s="1" t="s">
        <v>2257</v>
      </c>
      <c r="J82" s="1" t="s">
        <v>2230</v>
      </c>
      <c r="K82" s="3">
        <v>45</v>
      </c>
      <c r="L82" s="4">
        <v>60</v>
      </c>
      <c r="M82" s="4">
        <f t="shared" si="1"/>
        <v>2700</v>
      </c>
    </row>
    <row r="83" spans="1:13" ht="15.75" customHeight="1">
      <c r="A83" s="1" t="s">
        <v>2467</v>
      </c>
      <c r="B83" s="1" t="str">
        <f>"889918861343"</f>
        <v>889918861343</v>
      </c>
      <c r="C83" s="1" t="s">
        <v>2468</v>
      </c>
      <c r="D83" s="2" t="s">
        <v>2469</v>
      </c>
      <c r="E83" s="1" t="s">
        <v>2456</v>
      </c>
      <c r="F83" s="1" t="s">
        <v>2470</v>
      </c>
      <c r="G83" s="1" t="str">
        <f>"12"</f>
        <v>12</v>
      </c>
      <c r="H83" s="1" t="s">
        <v>2471</v>
      </c>
      <c r="I83" s="1" t="s">
        <v>2257</v>
      </c>
      <c r="J83" s="1" t="s">
        <v>2230</v>
      </c>
      <c r="K83" s="3">
        <v>4</v>
      </c>
      <c r="L83" s="4">
        <v>60</v>
      </c>
      <c r="M83" s="4">
        <f t="shared" si="1"/>
        <v>240</v>
      </c>
    </row>
    <row r="84" spans="1:13" ht="15.75" customHeight="1">
      <c r="A84" s="1" t="s">
        <v>2472</v>
      </c>
      <c r="B84" s="1" t="str">
        <f>"889918861299"</f>
        <v>889918861299</v>
      </c>
      <c r="C84" s="1" t="s">
        <v>2473</v>
      </c>
      <c r="D84" s="2" t="s">
        <v>2469</v>
      </c>
      <c r="E84" s="1" t="s">
        <v>2456</v>
      </c>
      <c r="F84" s="1" t="s">
        <v>2470</v>
      </c>
      <c r="G84" s="1" t="str">
        <f>"7"</f>
        <v>7</v>
      </c>
      <c r="H84" s="1" t="s">
        <v>2471</v>
      </c>
      <c r="I84" s="1" t="s">
        <v>2257</v>
      </c>
      <c r="J84" s="1" t="s">
        <v>2230</v>
      </c>
      <c r="K84" s="3">
        <v>24</v>
      </c>
      <c r="L84" s="4">
        <v>60</v>
      </c>
      <c r="M84" s="4">
        <f t="shared" si="1"/>
        <v>1440</v>
      </c>
    </row>
    <row r="85" spans="1:13" ht="15.75" customHeight="1">
      <c r="A85" s="1" t="s">
        <v>2474</v>
      </c>
      <c r="B85" s="1" t="str">
        <f>"889918861305"</f>
        <v>889918861305</v>
      </c>
      <c r="C85" s="1" t="s">
        <v>2475</v>
      </c>
      <c r="D85" s="2" t="s">
        <v>2469</v>
      </c>
      <c r="E85" s="1" t="s">
        <v>2456</v>
      </c>
      <c r="F85" s="1" t="s">
        <v>2470</v>
      </c>
      <c r="G85" s="1" t="str">
        <f>"8"</f>
        <v>8</v>
      </c>
      <c r="H85" s="1" t="s">
        <v>2471</v>
      </c>
      <c r="I85" s="1" t="s">
        <v>2257</v>
      </c>
      <c r="J85" s="1" t="s">
        <v>2230</v>
      </c>
      <c r="K85" s="3">
        <v>33</v>
      </c>
      <c r="L85" s="4">
        <v>60</v>
      </c>
      <c r="M85" s="4">
        <f t="shared" si="1"/>
        <v>1980</v>
      </c>
    </row>
    <row r="86" spans="1:13" ht="15.75" customHeight="1">
      <c r="A86" s="1" t="s">
        <v>2476</v>
      </c>
      <c r="B86" s="1" t="str">
        <f>"889918861312"</f>
        <v>889918861312</v>
      </c>
      <c r="C86" s="1" t="s">
        <v>2477</v>
      </c>
      <c r="D86" s="2" t="s">
        <v>2469</v>
      </c>
      <c r="E86" s="1" t="s">
        <v>2456</v>
      </c>
      <c r="F86" s="1" t="s">
        <v>2470</v>
      </c>
      <c r="G86" s="1" t="str">
        <f>"9"</f>
        <v>9</v>
      </c>
      <c r="H86" s="1" t="s">
        <v>2471</v>
      </c>
      <c r="I86" s="1" t="s">
        <v>2257</v>
      </c>
      <c r="J86" s="1" t="s">
        <v>2230</v>
      </c>
      <c r="K86" s="3">
        <v>8</v>
      </c>
      <c r="L86" s="4">
        <v>60</v>
      </c>
      <c r="M86" s="4">
        <f t="shared" si="1"/>
        <v>480</v>
      </c>
    </row>
    <row r="87" spans="1:13" ht="15.75" customHeight="1">
      <c r="A87" s="1" t="s">
        <v>2478</v>
      </c>
      <c r="B87" s="1" t="str">
        <f>"889918861411"</f>
        <v>889918861411</v>
      </c>
      <c r="C87" s="1" t="s">
        <v>2479</v>
      </c>
      <c r="D87" s="2" t="s">
        <v>2480</v>
      </c>
      <c r="E87" s="1" t="s">
        <v>2456</v>
      </c>
      <c r="F87" s="1" t="s">
        <v>2481</v>
      </c>
      <c r="G87" s="1" t="str">
        <f>"11"</f>
        <v>11</v>
      </c>
      <c r="H87" s="1" t="s">
        <v>2482</v>
      </c>
      <c r="I87" s="1" t="s">
        <v>2257</v>
      </c>
      <c r="J87" s="1" t="s">
        <v>2230</v>
      </c>
      <c r="K87" s="3">
        <v>5</v>
      </c>
      <c r="L87" s="4">
        <v>60</v>
      </c>
      <c r="M87" s="4">
        <f t="shared" si="1"/>
        <v>300</v>
      </c>
    </row>
    <row r="88" spans="1:13" ht="15.75" customHeight="1">
      <c r="A88" s="1" t="s">
        <v>2483</v>
      </c>
      <c r="B88" s="1" t="str">
        <f>"889918861350"</f>
        <v>889918861350</v>
      </c>
      <c r="C88" s="1" t="s">
        <v>2484</v>
      </c>
      <c r="D88" s="2" t="s">
        <v>2480</v>
      </c>
      <c r="E88" s="1" t="s">
        <v>2456</v>
      </c>
      <c r="F88" s="1" t="s">
        <v>2481</v>
      </c>
      <c r="G88" s="1" t="str">
        <f>"5"</f>
        <v>5</v>
      </c>
      <c r="H88" s="1" t="s">
        <v>2482</v>
      </c>
      <c r="I88" s="1" t="s">
        <v>2257</v>
      </c>
      <c r="J88" s="1" t="s">
        <v>2230</v>
      </c>
      <c r="K88" s="3">
        <v>9</v>
      </c>
      <c r="L88" s="4">
        <v>60</v>
      </c>
      <c r="M88" s="4">
        <f t="shared" si="1"/>
        <v>540</v>
      </c>
    </row>
    <row r="89" spans="1:13" ht="15.75" customHeight="1">
      <c r="A89" s="1" t="s">
        <v>2485</v>
      </c>
      <c r="B89" s="1" t="str">
        <f>"889918861374"</f>
        <v>889918861374</v>
      </c>
      <c r="C89" s="1" t="s">
        <v>2486</v>
      </c>
      <c r="D89" s="2" t="s">
        <v>2480</v>
      </c>
      <c r="E89" s="1" t="s">
        <v>2456</v>
      </c>
      <c r="F89" s="1" t="s">
        <v>2481</v>
      </c>
      <c r="G89" s="1" t="str">
        <f>"7"</f>
        <v>7</v>
      </c>
      <c r="H89" s="1" t="s">
        <v>2482</v>
      </c>
      <c r="I89" s="1" t="s">
        <v>2257</v>
      </c>
      <c r="J89" s="1" t="s">
        <v>2230</v>
      </c>
      <c r="K89" s="3">
        <v>8</v>
      </c>
      <c r="L89" s="4">
        <v>60</v>
      </c>
      <c r="M89" s="4">
        <f t="shared" si="1"/>
        <v>480</v>
      </c>
    </row>
    <row r="90" spans="1:13" ht="15.75" customHeight="1">
      <c r="A90" s="1" t="s">
        <v>2487</v>
      </c>
      <c r="B90" s="1" t="str">
        <f>"889918861381"</f>
        <v>889918861381</v>
      </c>
      <c r="C90" s="1" t="s">
        <v>2488</v>
      </c>
      <c r="D90" s="2" t="s">
        <v>2480</v>
      </c>
      <c r="E90" s="1" t="s">
        <v>2456</v>
      </c>
      <c r="F90" s="1" t="s">
        <v>2481</v>
      </c>
      <c r="G90" s="1" t="str">
        <f>"8"</f>
        <v>8</v>
      </c>
      <c r="H90" s="1" t="s">
        <v>2482</v>
      </c>
      <c r="I90" s="1" t="s">
        <v>2257</v>
      </c>
      <c r="J90" s="1" t="s">
        <v>2230</v>
      </c>
      <c r="K90" s="3">
        <v>15</v>
      </c>
      <c r="L90" s="4">
        <v>60</v>
      </c>
      <c r="M90" s="4">
        <f t="shared" si="1"/>
        <v>900</v>
      </c>
    </row>
    <row r="91" spans="1:13" ht="15.75" customHeight="1">
      <c r="A91" s="1" t="s">
        <v>2489</v>
      </c>
      <c r="B91" s="1" t="str">
        <f>"889918807754"</f>
        <v>889918807754</v>
      </c>
      <c r="C91" s="1" t="s">
        <v>2490</v>
      </c>
      <c r="D91" s="2"/>
      <c r="E91" s="1" t="s">
        <v>2456</v>
      </c>
      <c r="F91" s="1" t="s">
        <v>2470</v>
      </c>
      <c r="G91" s="1" t="str">
        <f>"10"</f>
        <v>10</v>
      </c>
      <c r="H91" s="1" t="s">
        <v>2491</v>
      </c>
      <c r="I91" s="1" t="s">
        <v>2257</v>
      </c>
      <c r="J91" s="1" t="s">
        <v>2230</v>
      </c>
      <c r="K91" s="3">
        <v>1</v>
      </c>
      <c r="L91" s="4">
        <v>60</v>
      </c>
      <c r="M91" s="4">
        <f t="shared" si="1"/>
        <v>60</v>
      </c>
    </row>
    <row r="92" spans="1:13" ht="15.75" customHeight="1">
      <c r="A92" s="1" t="s">
        <v>2492</v>
      </c>
      <c r="B92" s="1" t="str">
        <f>"889918807709"</f>
        <v>889918807709</v>
      </c>
      <c r="C92" s="1" t="s">
        <v>2493</v>
      </c>
      <c r="D92" s="2" t="s">
        <v>2494</v>
      </c>
      <c r="E92" s="1" t="s">
        <v>2456</v>
      </c>
      <c r="F92" s="1" t="s">
        <v>2470</v>
      </c>
      <c r="G92" s="1" t="str">
        <f>"5"</f>
        <v>5</v>
      </c>
      <c r="H92" s="1" t="s">
        <v>2491</v>
      </c>
      <c r="I92" s="1" t="s">
        <v>2257</v>
      </c>
      <c r="J92" s="1" t="s">
        <v>2230</v>
      </c>
      <c r="K92" s="3">
        <v>3</v>
      </c>
      <c r="L92" s="4">
        <v>60</v>
      </c>
      <c r="M92" s="4">
        <f t="shared" si="1"/>
        <v>180</v>
      </c>
    </row>
    <row r="93" spans="1:13" ht="15.75" customHeight="1">
      <c r="A93" s="1" t="s">
        <v>2495</v>
      </c>
      <c r="B93" s="1" t="str">
        <f>"889918807716"</f>
        <v>889918807716</v>
      </c>
      <c r="C93" s="1" t="s">
        <v>2496</v>
      </c>
      <c r="D93" s="2" t="s">
        <v>2494</v>
      </c>
      <c r="E93" s="1" t="s">
        <v>2456</v>
      </c>
      <c r="F93" s="1" t="s">
        <v>2470</v>
      </c>
      <c r="G93" s="1" t="str">
        <f>"6"</f>
        <v>6</v>
      </c>
      <c r="H93" s="1" t="s">
        <v>2491</v>
      </c>
      <c r="I93" s="1" t="s">
        <v>2257</v>
      </c>
      <c r="J93" s="1" t="s">
        <v>2230</v>
      </c>
      <c r="K93" s="3">
        <v>4</v>
      </c>
      <c r="L93" s="4">
        <v>60</v>
      </c>
      <c r="M93" s="4">
        <f t="shared" si="1"/>
        <v>240</v>
      </c>
    </row>
    <row r="94" spans="1:13" ht="15.75" customHeight="1">
      <c r="A94" s="1" t="s">
        <v>2497</v>
      </c>
      <c r="B94" s="1" t="str">
        <f>"889918807723"</f>
        <v>889918807723</v>
      </c>
      <c r="C94" s="1" t="s">
        <v>2498</v>
      </c>
      <c r="D94" s="2" t="s">
        <v>2494</v>
      </c>
      <c r="E94" s="1" t="s">
        <v>2456</v>
      </c>
      <c r="F94" s="1" t="s">
        <v>2470</v>
      </c>
      <c r="G94" s="1" t="str">
        <f>"7"</f>
        <v>7</v>
      </c>
      <c r="H94" s="1" t="s">
        <v>2491</v>
      </c>
      <c r="I94" s="1" t="s">
        <v>2257</v>
      </c>
      <c r="J94" s="1" t="s">
        <v>2230</v>
      </c>
      <c r="K94" s="3">
        <v>8</v>
      </c>
      <c r="L94" s="4">
        <v>60</v>
      </c>
      <c r="M94" s="4">
        <f t="shared" si="1"/>
        <v>480</v>
      </c>
    </row>
    <row r="95" spans="1:13" ht="15.75" customHeight="1">
      <c r="A95" s="1" t="s">
        <v>2499</v>
      </c>
      <c r="B95" s="1" t="str">
        <f>"889918807945"</f>
        <v>889918807945</v>
      </c>
      <c r="C95" s="1" t="s">
        <v>2500</v>
      </c>
      <c r="D95" s="2" t="s">
        <v>2501</v>
      </c>
      <c r="E95" s="1" t="s">
        <v>2456</v>
      </c>
      <c r="F95" s="1" t="s">
        <v>2481</v>
      </c>
      <c r="G95" s="1" t="str">
        <f>"11"</f>
        <v>11</v>
      </c>
      <c r="H95" s="1" t="s">
        <v>2502</v>
      </c>
      <c r="I95" s="1" t="s">
        <v>2257</v>
      </c>
      <c r="J95" s="1" t="s">
        <v>2230</v>
      </c>
      <c r="K95" s="3">
        <v>4</v>
      </c>
      <c r="L95" s="4">
        <v>60</v>
      </c>
      <c r="M95" s="4">
        <f t="shared" si="1"/>
        <v>240</v>
      </c>
    </row>
    <row r="96" spans="1:13" ht="15.75" customHeight="1">
      <c r="A96" s="1" t="s">
        <v>2503</v>
      </c>
      <c r="B96" s="1" t="str">
        <f>"889918807952"</f>
        <v>889918807952</v>
      </c>
      <c r="C96" s="1" t="s">
        <v>2504</v>
      </c>
      <c r="D96" s="2" t="s">
        <v>2501</v>
      </c>
      <c r="E96" s="1" t="s">
        <v>2456</v>
      </c>
      <c r="F96" s="1" t="s">
        <v>2481</v>
      </c>
      <c r="G96" s="1" t="str">
        <f>"12"</f>
        <v>12</v>
      </c>
      <c r="H96" s="1" t="s">
        <v>2502</v>
      </c>
      <c r="I96" s="1" t="s">
        <v>2257</v>
      </c>
      <c r="J96" s="1" t="s">
        <v>2230</v>
      </c>
      <c r="K96" s="3">
        <v>5</v>
      </c>
      <c r="L96" s="4">
        <v>60</v>
      </c>
      <c r="M96" s="4">
        <f t="shared" si="1"/>
        <v>300</v>
      </c>
    </row>
    <row r="97" spans="1:13" ht="15.75" customHeight="1">
      <c r="A97" s="1" t="s">
        <v>2505</v>
      </c>
      <c r="B97" s="1" t="str">
        <f>"889918807884"</f>
        <v>889918807884</v>
      </c>
      <c r="C97" s="1" t="s">
        <v>2506</v>
      </c>
      <c r="D97" s="2" t="s">
        <v>2501</v>
      </c>
      <c r="E97" s="1" t="s">
        <v>2456</v>
      </c>
      <c r="F97" s="1" t="s">
        <v>2481</v>
      </c>
      <c r="G97" s="1" t="str">
        <f>"5"</f>
        <v>5</v>
      </c>
      <c r="H97" s="1" t="s">
        <v>2502</v>
      </c>
      <c r="I97" s="1" t="s">
        <v>2257</v>
      </c>
      <c r="J97" s="1" t="s">
        <v>2230</v>
      </c>
      <c r="K97" s="3">
        <v>5</v>
      </c>
      <c r="L97" s="4">
        <v>60</v>
      </c>
      <c r="M97" s="4">
        <f t="shared" si="1"/>
        <v>300</v>
      </c>
    </row>
    <row r="98" spans="1:13" ht="15.75" customHeight="1">
      <c r="A98" s="1" t="s">
        <v>2507</v>
      </c>
      <c r="B98" s="1" t="str">
        <f>"889918807891"</f>
        <v>889918807891</v>
      </c>
      <c r="C98" s="1" t="s">
        <v>2508</v>
      </c>
      <c r="D98" s="2" t="s">
        <v>2501</v>
      </c>
      <c r="E98" s="1" t="s">
        <v>2456</v>
      </c>
      <c r="F98" s="1" t="s">
        <v>2481</v>
      </c>
      <c r="G98" s="1" t="str">
        <f>"6"</f>
        <v>6</v>
      </c>
      <c r="H98" s="1" t="s">
        <v>2502</v>
      </c>
      <c r="I98" s="1" t="s">
        <v>2257</v>
      </c>
      <c r="J98" s="1" t="s">
        <v>2230</v>
      </c>
      <c r="K98" s="3">
        <v>3</v>
      </c>
      <c r="L98" s="4">
        <v>60</v>
      </c>
      <c r="M98" s="4">
        <f t="shared" si="1"/>
        <v>180</v>
      </c>
    </row>
    <row r="99" spans="1:13" ht="15.75" customHeight="1">
      <c r="A99" s="1" t="s">
        <v>2509</v>
      </c>
      <c r="B99" s="1" t="str">
        <f>"889918807907"</f>
        <v>889918807907</v>
      </c>
      <c r="C99" s="1" t="s">
        <v>2510</v>
      </c>
      <c r="D99" s="2" t="s">
        <v>2501</v>
      </c>
      <c r="E99" s="1" t="s">
        <v>2456</v>
      </c>
      <c r="F99" s="1" t="s">
        <v>2481</v>
      </c>
      <c r="G99" s="1" t="str">
        <f>"7"</f>
        <v>7</v>
      </c>
      <c r="H99" s="1" t="s">
        <v>2502</v>
      </c>
      <c r="I99" s="1" t="s">
        <v>2257</v>
      </c>
      <c r="J99" s="1" t="s">
        <v>2230</v>
      </c>
      <c r="K99" s="3">
        <v>19</v>
      </c>
      <c r="L99" s="4">
        <v>60</v>
      </c>
      <c r="M99" s="4">
        <f t="shared" si="1"/>
        <v>1140</v>
      </c>
    </row>
    <row r="100" spans="1:13" ht="15.75" customHeight="1">
      <c r="A100" s="1" t="s">
        <v>2511</v>
      </c>
      <c r="B100" s="1" t="str">
        <f>"889918807921"</f>
        <v>889918807921</v>
      </c>
      <c r="C100" s="1" t="s">
        <v>2512</v>
      </c>
      <c r="D100" s="2" t="s">
        <v>2501</v>
      </c>
      <c r="E100" s="1" t="s">
        <v>2456</v>
      </c>
      <c r="F100" s="1" t="s">
        <v>2481</v>
      </c>
      <c r="G100" s="1" t="str">
        <f>"9"</f>
        <v>9</v>
      </c>
      <c r="H100" s="1" t="s">
        <v>2502</v>
      </c>
      <c r="I100" s="1" t="s">
        <v>2257</v>
      </c>
      <c r="J100" s="1" t="s">
        <v>2230</v>
      </c>
      <c r="K100" s="3">
        <v>11</v>
      </c>
      <c r="L100" s="4">
        <v>60</v>
      </c>
      <c r="M100" s="4">
        <f t="shared" si="1"/>
        <v>660</v>
      </c>
    </row>
    <row r="101" spans="1:13" ht="15.75" customHeight="1">
      <c r="A101" s="1" t="s">
        <v>2513</v>
      </c>
      <c r="B101" s="1" t="str">
        <f>"889918807662"</f>
        <v>889918807662</v>
      </c>
      <c r="C101" s="1" t="s">
        <v>2514</v>
      </c>
      <c r="D101" s="2" t="s">
        <v>2515</v>
      </c>
      <c r="E101" s="1" t="s">
        <v>2456</v>
      </c>
      <c r="F101" s="1" t="s">
        <v>2516</v>
      </c>
      <c r="G101" s="1" t="str">
        <f>"10"</f>
        <v>10</v>
      </c>
      <c r="H101" s="1" t="s">
        <v>2517</v>
      </c>
      <c r="I101" s="1" t="s">
        <v>2257</v>
      </c>
      <c r="J101" s="1" t="s">
        <v>2230</v>
      </c>
      <c r="K101" s="3">
        <v>4</v>
      </c>
      <c r="L101" s="4">
        <v>60</v>
      </c>
      <c r="M101" s="4">
        <f t="shared" si="1"/>
        <v>240</v>
      </c>
    </row>
    <row r="102" spans="1:13" ht="15.75" customHeight="1">
      <c r="A102" s="1" t="s">
        <v>2518</v>
      </c>
      <c r="B102" s="1" t="str">
        <f>"889918807679"</f>
        <v>889918807679</v>
      </c>
      <c r="C102" s="1" t="s">
        <v>2519</v>
      </c>
      <c r="D102" s="2" t="s">
        <v>2515</v>
      </c>
      <c r="E102" s="1" t="s">
        <v>2456</v>
      </c>
      <c r="F102" s="1" t="s">
        <v>2516</v>
      </c>
      <c r="G102" s="1" t="str">
        <f>"11"</f>
        <v>11</v>
      </c>
      <c r="H102" s="1" t="s">
        <v>2517</v>
      </c>
      <c r="I102" s="1" t="s">
        <v>2257</v>
      </c>
      <c r="J102" s="1" t="s">
        <v>2230</v>
      </c>
      <c r="K102" s="3">
        <v>3</v>
      </c>
      <c r="L102" s="4">
        <v>60</v>
      </c>
      <c r="M102" s="4">
        <f t="shared" si="1"/>
        <v>180</v>
      </c>
    </row>
    <row r="103" spans="1:13" ht="15.75" customHeight="1">
      <c r="A103" s="1" t="s">
        <v>2520</v>
      </c>
      <c r="B103" s="1" t="str">
        <f>"889918807686"</f>
        <v>889918807686</v>
      </c>
      <c r="C103" s="1" t="s">
        <v>2521</v>
      </c>
      <c r="D103" s="2" t="s">
        <v>2515</v>
      </c>
      <c r="E103" s="1" t="s">
        <v>2456</v>
      </c>
      <c r="F103" s="1" t="s">
        <v>2516</v>
      </c>
      <c r="G103" s="1" t="str">
        <f>"12"</f>
        <v>12</v>
      </c>
      <c r="H103" s="1" t="s">
        <v>2517</v>
      </c>
      <c r="I103" s="1" t="s">
        <v>2257</v>
      </c>
      <c r="J103" s="1" t="s">
        <v>2230</v>
      </c>
      <c r="K103" s="3">
        <v>1</v>
      </c>
      <c r="L103" s="4">
        <v>60</v>
      </c>
      <c r="M103" s="4">
        <f t="shared" si="1"/>
        <v>60</v>
      </c>
    </row>
    <row r="104" spans="1:13" ht="15.75" customHeight="1">
      <c r="A104" s="1" t="s">
        <v>2522</v>
      </c>
      <c r="B104" s="1" t="str">
        <f>"889918807617"</f>
        <v>889918807617</v>
      </c>
      <c r="C104" s="1" t="s">
        <v>2523</v>
      </c>
      <c r="D104" s="2" t="s">
        <v>2515</v>
      </c>
      <c r="E104" s="1" t="s">
        <v>2456</v>
      </c>
      <c r="F104" s="1" t="s">
        <v>2516</v>
      </c>
      <c r="G104" s="1" t="str">
        <f>"5"</f>
        <v>5</v>
      </c>
      <c r="H104" s="1" t="s">
        <v>2517</v>
      </c>
      <c r="I104" s="1" t="s">
        <v>2257</v>
      </c>
      <c r="J104" s="1" t="s">
        <v>2230</v>
      </c>
      <c r="K104" s="3">
        <v>6</v>
      </c>
      <c r="L104" s="4">
        <v>60</v>
      </c>
      <c r="M104" s="4">
        <f t="shared" si="1"/>
        <v>360</v>
      </c>
    </row>
    <row r="105" spans="1:13" ht="15.75" customHeight="1">
      <c r="A105" s="1" t="s">
        <v>2524</v>
      </c>
      <c r="B105" s="1" t="str">
        <f>"889918807624"</f>
        <v>889918807624</v>
      </c>
      <c r="C105" s="1" t="s">
        <v>2525</v>
      </c>
      <c r="D105" s="2" t="s">
        <v>2515</v>
      </c>
      <c r="E105" s="1" t="s">
        <v>2456</v>
      </c>
      <c r="F105" s="1" t="s">
        <v>2516</v>
      </c>
      <c r="G105" s="1" t="str">
        <f>"6"</f>
        <v>6</v>
      </c>
      <c r="H105" s="1" t="s">
        <v>2517</v>
      </c>
      <c r="I105" s="1" t="s">
        <v>2257</v>
      </c>
      <c r="J105" s="1" t="s">
        <v>2230</v>
      </c>
      <c r="K105" s="3">
        <v>4</v>
      </c>
      <c r="L105" s="4">
        <v>60</v>
      </c>
      <c r="M105" s="4">
        <f t="shared" si="1"/>
        <v>240</v>
      </c>
    </row>
    <row r="106" spans="1:13" ht="15.75" customHeight="1">
      <c r="A106" s="1" t="s">
        <v>2526</v>
      </c>
      <c r="B106" s="1" t="str">
        <f>"889918807631"</f>
        <v>889918807631</v>
      </c>
      <c r="C106" s="1" t="s">
        <v>2527</v>
      </c>
      <c r="D106" s="2" t="s">
        <v>2515</v>
      </c>
      <c r="E106" s="1" t="s">
        <v>2456</v>
      </c>
      <c r="F106" s="1" t="s">
        <v>2516</v>
      </c>
      <c r="G106" s="1" t="str">
        <f>"7"</f>
        <v>7</v>
      </c>
      <c r="H106" s="1" t="s">
        <v>2517</v>
      </c>
      <c r="I106" s="1" t="s">
        <v>2257</v>
      </c>
      <c r="J106" s="1" t="s">
        <v>2230</v>
      </c>
      <c r="K106" s="3">
        <v>8</v>
      </c>
      <c r="L106" s="4">
        <v>60</v>
      </c>
      <c r="M106" s="4">
        <f t="shared" si="1"/>
        <v>480</v>
      </c>
    </row>
    <row r="107" spans="1:13" ht="15.75" customHeight="1">
      <c r="A107" s="1" t="s">
        <v>2528</v>
      </c>
      <c r="B107" s="1" t="str">
        <f>"889918807648"</f>
        <v>889918807648</v>
      </c>
      <c r="C107" s="1" t="s">
        <v>2529</v>
      </c>
      <c r="D107" s="2" t="s">
        <v>2515</v>
      </c>
      <c r="E107" s="1" t="s">
        <v>2456</v>
      </c>
      <c r="F107" s="1" t="s">
        <v>2516</v>
      </c>
      <c r="G107" s="1" t="str">
        <f>"8"</f>
        <v>8</v>
      </c>
      <c r="H107" s="1" t="s">
        <v>2517</v>
      </c>
      <c r="I107" s="1" t="s">
        <v>2257</v>
      </c>
      <c r="J107" s="1" t="s">
        <v>2230</v>
      </c>
      <c r="K107" s="3">
        <v>8</v>
      </c>
      <c r="L107" s="4">
        <v>60</v>
      </c>
      <c r="M107" s="4">
        <f t="shared" si="1"/>
        <v>480</v>
      </c>
    </row>
    <row r="108" spans="1:13" ht="15.75" customHeight="1">
      <c r="A108" s="1" t="s">
        <v>2530</v>
      </c>
      <c r="B108" s="1" t="str">
        <f>"889918807655"</f>
        <v>889918807655</v>
      </c>
      <c r="C108" s="1" t="s">
        <v>2531</v>
      </c>
      <c r="D108" s="2" t="s">
        <v>2515</v>
      </c>
      <c r="E108" s="1" t="s">
        <v>2456</v>
      </c>
      <c r="F108" s="1" t="s">
        <v>2516</v>
      </c>
      <c r="G108" s="1" t="str">
        <f>"9"</f>
        <v>9</v>
      </c>
      <c r="H108" s="1" t="s">
        <v>2517</v>
      </c>
      <c r="I108" s="1" t="s">
        <v>2257</v>
      </c>
      <c r="J108" s="1" t="s">
        <v>2230</v>
      </c>
      <c r="K108" s="3">
        <v>6</v>
      </c>
      <c r="L108" s="4">
        <v>60</v>
      </c>
      <c r="M108" s="4">
        <f t="shared" si="1"/>
        <v>360</v>
      </c>
    </row>
    <row r="109" spans="1:13" ht="15.75" customHeight="1">
      <c r="A109" s="1" t="s">
        <v>2532</v>
      </c>
      <c r="B109" s="1" t="str">
        <f>"889918808256"</f>
        <v>889918808256</v>
      </c>
      <c r="C109" s="1" t="s">
        <v>2533</v>
      </c>
      <c r="D109" s="2" t="s">
        <v>2534</v>
      </c>
      <c r="E109" s="1" t="s">
        <v>2456</v>
      </c>
      <c r="F109" s="1" t="s">
        <v>2470</v>
      </c>
      <c r="G109" s="1" t="str">
        <f>"6"</f>
        <v>6</v>
      </c>
      <c r="H109" s="1" t="s">
        <v>2535</v>
      </c>
      <c r="I109" s="1" t="s">
        <v>2257</v>
      </c>
      <c r="J109" s="1" t="s">
        <v>2230</v>
      </c>
      <c r="K109" s="3">
        <v>9</v>
      </c>
      <c r="L109" s="4">
        <v>60</v>
      </c>
      <c r="M109" s="4">
        <f t="shared" si="1"/>
        <v>540</v>
      </c>
    </row>
    <row r="110" spans="1:13" ht="15.75" customHeight="1">
      <c r="A110" s="1" t="s">
        <v>2536</v>
      </c>
      <c r="B110" s="1" t="str">
        <f>"889918808263"</f>
        <v>889918808263</v>
      </c>
      <c r="C110" s="1" t="s">
        <v>2537</v>
      </c>
      <c r="D110" s="2" t="s">
        <v>2534</v>
      </c>
      <c r="E110" s="1" t="s">
        <v>2456</v>
      </c>
      <c r="F110" s="1" t="s">
        <v>2470</v>
      </c>
      <c r="G110" s="1" t="str">
        <f>"7"</f>
        <v>7</v>
      </c>
      <c r="H110" s="1" t="s">
        <v>2535</v>
      </c>
      <c r="I110" s="1" t="s">
        <v>2257</v>
      </c>
      <c r="J110" s="1" t="s">
        <v>2230</v>
      </c>
      <c r="K110" s="3">
        <v>6</v>
      </c>
      <c r="L110" s="4">
        <v>60</v>
      </c>
      <c r="M110" s="4">
        <f t="shared" si="1"/>
        <v>360</v>
      </c>
    </row>
    <row r="111" spans="1:13" ht="15.75" customHeight="1">
      <c r="A111" s="1" t="s">
        <v>2538</v>
      </c>
      <c r="B111" s="1" t="str">
        <f>"889918808393"</f>
        <v>889918808393</v>
      </c>
      <c r="C111" s="1" t="s">
        <v>2539</v>
      </c>
      <c r="D111" s="2" t="s">
        <v>2540</v>
      </c>
      <c r="E111" s="1" t="s">
        <v>2456</v>
      </c>
      <c r="F111" s="1" t="s">
        <v>2285</v>
      </c>
      <c r="G111" s="1" t="str">
        <f>"11"</f>
        <v>11</v>
      </c>
      <c r="H111" s="1" t="s">
        <v>2541</v>
      </c>
      <c r="I111" s="1" t="s">
        <v>2257</v>
      </c>
      <c r="J111" s="1" t="s">
        <v>2230</v>
      </c>
      <c r="K111" s="3">
        <v>2</v>
      </c>
      <c r="L111" s="4">
        <v>60</v>
      </c>
      <c r="M111" s="4">
        <f t="shared" si="1"/>
        <v>120</v>
      </c>
    </row>
    <row r="112" spans="1:13" ht="15.75" customHeight="1">
      <c r="A112" s="1" t="s">
        <v>2542</v>
      </c>
      <c r="B112" s="1" t="str">
        <f>"889918808409"</f>
        <v>889918808409</v>
      </c>
      <c r="C112" s="1" t="s">
        <v>2543</v>
      </c>
      <c r="D112" s="2" t="s">
        <v>2540</v>
      </c>
      <c r="E112" s="1" t="s">
        <v>2456</v>
      </c>
      <c r="F112" s="1" t="s">
        <v>2285</v>
      </c>
      <c r="G112" s="1" t="str">
        <f>"12"</f>
        <v>12</v>
      </c>
      <c r="H112" s="1" t="s">
        <v>2541</v>
      </c>
      <c r="I112" s="1" t="s">
        <v>2257</v>
      </c>
      <c r="J112" s="1" t="s">
        <v>2230</v>
      </c>
      <c r="K112" s="3">
        <v>1</v>
      </c>
      <c r="L112" s="4">
        <v>60</v>
      </c>
      <c r="M112" s="4">
        <f t="shared" si="1"/>
        <v>60</v>
      </c>
    </row>
    <row r="113" spans="1:13" ht="15.75" customHeight="1">
      <c r="A113" s="1" t="s">
        <v>2544</v>
      </c>
      <c r="B113" s="1" t="str">
        <f>"889918808331"</f>
        <v>889918808331</v>
      </c>
      <c r="C113" s="1" t="s">
        <v>2545</v>
      </c>
      <c r="D113" s="2" t="s">
        <v>2540</v>
      </c>
      <c r="E113" s="1" t="s">
        <v>2456</v>
      </c>
      <c r="F113" s="1" t="s">
        <v>2285</v>
      </c>
      <c r="G113" s="1" t="str">
        <f>"5"</f>
        <v>5</v>
      </c>
      <c r="H113" s="1" t="s">
        <v>2541</v>
      </c>
      <c r="I113" s="1" t="s">
        <v>2257</v>
      </c>
      <c r="J113" s="1" t="s">
        <v>2230</v>
      </c>
      <c r="K113" s="3">
        <v>2</v>
      </c>
      <c r="L113" s="4">
        <v>60</v>
      </c>
      <c r="M113" s="4">
        <f t="shared" si="1"/>
        <v>120</v>
      </c>
    </row>
    <row r="114" spans="1:13" ht="15.75" customHeight="1">
      <c r="A114" s="1" t="s">
        <v>2546</v>
      </c>
      <c r="B114" s="1" t="str">
        <f>"889918808348"</f>
        <v>889918808348</v>
      </c>
      <c r="C114" s="1" t="s">
        <v>2547</v>
      </c>
      <c r="D114" s="2" t="s">
        <v>2540</v>
      </c>
      <c r="E114" s="1" t="s">
        <v>2456</v>
      </c>
      <c r="F114" s="1" t="s">
        <v>2285</v>
      </c>
      <c r="G114" s="1" t="str">
        <f>"6"</f>
        <v>6</v>
      </c>
      <c r="H114" s="1" t="s">
        <v>2541</v>
      </c>
      <c r="I114" s="1" t="s">
        <v>2257</v>
      </c>
      <c r="J114" s="1" t="s">
        <v>2230</v>
      </c>
      <c r="K114" s="3">
        <v>9</v>
      </c>
      <c r="L114" s="4">
        <v>60</v>
      </c>
      <c r="M114" s="4">
        <f t="shared" si="1"/>
        <v>540</v>
      </c>
    </row>
    <row r="115" spans="1:13" ht="15.75" customHeight="1">
      <c r="A115" s="1" t="s">
        <v>2548</v>
      </c>
      <c r="B115" s="1" t="str">
        <f>"889918808355"</f>
        <v>889918808355</v>
      </c>
      <c r="C115" s="1" t="s">
        <v>2549</v>
      </c>
      <c r="D115" s="2" t="s">
        <v>2540</v>
      </c>
      <c r="E115" s="1" t="s">
        <v>2456</v>
      </c>
      <c r="F115" s="1" t="s">
        <v>2285</v>
      </c>
      <c r="G115" s="1" t="str">
        <f>"7"</f>
        <v>7</v>
      </c>
      <c r="H115" s="1" t="s">
        <v>2541</v>
      </c>
      <c r="I115" s="1" t="s">
        <v>2257</v>
      </c>
      <c r="J115" s="1" t="s">
        <v>2230</v>
      </c>
      <c r="K115" s="3">
        <v>19</v>
      </c>
      <c r="L115" s="4">
        <v>60</v>
      </c>
      <c r="M115" s="4">
        <f t="shared" si="1"/>
        <v>1140</v>
      </c>
    </row>
    <row r="116" spans="1:13" ht="15.75" customHeight="1">
      <c r="A116" s="1" t="s">
        <v>2550</v>
      </c>
      <c r="B116" s="1" t="str">
        <f>"889918807976"</f>
        <v>889918807976</v>
      </c>
      <c r="C116" s="1" t="s">
        <v>2551</v>
      </c>
      <c r="D116" s="2" t="s">
        <v>2552</v>
      </c>
      <c r="E116" s="1" t="s">
        <v>2456</v>
      </c>
      <c r="F116" s="1" t="s">
        <v>2470</v>
      </c>
      <c r="G116" s="1" t="str">
        <f>"5"</f>
        <v>5</v>
      </c>
      <c r="H116" s="1" t="s">
        <v>2553</v>
      </c>
      <c r="I116" s="1" t="s">
        <v>2257</v>
      </c>
      <c r="J116" s="1" t="s">
        <v>2230</v>
      </c>
      <c r="K116" s="3">
        <v>4</v>
      </c>
      <c r="L116" s="4">
        <v>60</v>
      </c>
      <c r="M116" s="4">
        <f t="shared" si="1"/>
        <v>240</v>
      </c>
    </row>
    <row r="117" spans="1:13" ht="15.75" customHeight="1">
      <c r="A117" s="1" t="s">
        <v>2554</v>
      </c>
      <c r="B117" s="1" t="str">
        <f>"889918807983"</f>
        <v>889918807983</v>
      </c>
      <c r="C117" s="1" t="s">
        <v>2555</v>
      </c>
      <c r="D117" s="2" t="s">
        <v>2552</v>
      </c>
      <c r="E117" s="1" t="s">
        <v>2456</v>
      </c>
      <c r="F117" s="1" t="s">
        <v>2470</v>
      </c>
      <c r="G117" s="1" t="str">
        <f>"6"</f>
        <v>6</v>
      </c>
      <c r="H117" s="1" t="s">
        <v>2553</v>
      </c>
      <c r="I117" s="1" t="s">
        <v>2257</v>
      </c>
      <c r="J117" s="1" t="s">
        <v>2230</v>
      </c>
      <c r="K117" s="3">
        <v>5</v>
      </c>
      <c r="L117" s="4">
        <v>60</v>
      </c>
      <c r="M117" s="4">
        <f t="shared" si="1"/>
        <v>300</v>
      </c>
    </row>
    <row r="118" spans="1:13" ht="15.75" customHeight="1">
      <c r="A118" s="1" t="s">
        <v>2556</v>
      </c>
      <c r="B118" s="1" t="str">
        <f>"889918807990"</f>
        <v>889918807990</v>
      </c>
      <c r="C118" s="1" t="s">
        <v>2557</v>
      </c>
      <c r="D118" s="2" t="s">
        <v>2552</v>
      </c>
      <c r="E118" s="1" t="s">
        <v>2456</v>
      </c>
      <c r="F118" s="1" t="s">
        <v>2470</v>
      </c>
      <c r="G118" s="1" t="str">
        <f>"7"</f>
        <v>7</v>
      </c>
      <c r="H118" s="1" t="s">
        <v>2553</v>
      </c>
      <c r="I118" s="1" t="s">
        <v>2257</v>
      </c>
      <c r="J118" s="1" t="s">
        <v>2230</v>
      </c>
      <c r="K118" s="3">
        <v>23</v>
      </c>
      <c r="L118" s="4">
        <v>60</v>
      </c>
      <c r="M118" s="4">
        <f t="shared" si="1"/>
        <v>1380</v>
      </c>
    </row>
    <row r="119" spans="1:13" ht="15.75" customHeight="1">
      <c r="A119" s="1" t="s">
        <v>2558</v>
      </c>
      <c r="B119" s="1" t="str">
        <f>"889918808003"</f>
        <v>889918808003</v>
      </c>
      <c r="C119" s="1" t="s">
        <v>2559</v>
      </c>
      <c r="D119" s="2" t="s">
        <v>2552</v>
      </c>
      <c r="E119" s="1" t="s">
        <v>2456</v>
      </c>
      <c r="F119" s="1" t="s">
        <v>2470</v>
      </c>
      <c r="G119" s="1" t="str">
        <f>"8"</f>
        <v>8</v>
      </c>
      <c r="H119" s="1" t="s">
        <v>2553</v>
      </c>
      <c r="I119" s="1" t="s">
        <v>2257</v>
      </c>
      <c r="J119" s="1" t="s">
        <v>2230</v>
      </c>
      <c r="K119" s="3">
        <v>4</v>
      </c>
      <c r="L119" s="4">
        <v>60</v>
      </c>
      <c r="M119" s="4">
        <f t="shared" si="1"/>
        <v>240</v>
      </c>
    </row>
    <row r="120" spans="1:13" ht="15.75" customHeight="1">
      <c r="A120" s="1" t="s">
        <v>2560</v>
      </c>
      <c r="B120" s="1" t="str">
        <f>"889918808010"</f>
        <v>889918808010</v>
      </c>
      <c r="C120" s="1" t="s">
        <v>2561</v>
      </c>
      <c r="D120" s="2" t="s">
        <v>2552</v>
      </c>
      <c r="E120" s="1" t="s">
        <v>2456</v>
      </c>
      <c r="F120" s="1" t="s">
        <v>2470</v>
      </c>
      <c r="G120" s="1" t="str">
        <f>"9"</f>
        <v>9</v>
      </c>
      <c r="H120" s="1" t="s">
        <v>2553</v>
      </c>
      <c r="I120" s="1" t="s">
        <v>2257</v>
      </c>
      <c r="J120" s="1" t="s">
        <v>2230</v>
      </c>
      <c r="K120" s="3">
        <v>2</v>
      </c>
      <c r="L120" s="4">
        <v>60</v>
      </c>
      <c r="M120" s="4">
        <f t="shared" si="1"/>
        <v>120</v>
      </c>
    </row>
    <row r="121" spans="1:13" ht="15.75" customHeight="1">
      <c r="A121" s="1" t="s">
        <v>2562</v>
      </c>
      <c r="B121" s="1" t="str">
        <f>"889918663664"</f>
        <v>889918663664</v>
      </c>
      <c r="C121" s="1" t="s">
        <v>2563</v>
      </c>
      <c r="D121" s="2" t="s">
        <v>2564</v>
      </c>
      <c r="E121" s="1" t="s">
        <v>2456</v>
      </c>
      <c r="F121" s="1" t="s">
        <v>2565</v>
      </c>
      <c r="G121" s="1" t="str">
        <f>"11"</f>
        <v>11</v>
      </c>
      <c r="H121" s="1" t="s">
        <v>2566</v>
      </c>
      <c r="I121" s="1" t="s">
        <v>2257</v>
      </c>
      <c r="J121" s="1" t="s">
        <v>2230</v>
      </c>
      <c r="K121" s="3">
        <v>3</v>
      </c>
      <c r="L121" s="4">
        <v>59.99</v>
      </c>
      <c r="M121" s="4">
        <f t="shared" si="1"/>
        <v>179.97</v>
      </c>
    </row>
    <row r="122" spans="1:13" ht="15.75" customHeight="1">
      <c r="A122" s="1" t="s">
        <v>2567</v>
      </c>
      <c r="B122" s="1" t="str">
        <f>"889918663619"</f>
        <v>889918663619</v>
      </c>
      <c r="C122" s="1" t="s">
        <v>2568</v>
      </c>
      <c r="D122" s="2" t="s">
        <v>2564</v>
      </c>
      <c r="E122" s="1" t="s">
        <v>2456</v>
      </c>
      <c r="F122" s="1" t="s">
        <v>2565</v>
      </c>
      <c r="G122" s="1" t="str">
        <f>"6"</f>
        <v>6</v>
      </c>
      <c r="H122" s="1" t="s">
        <v>2566</v>
      </c>
      <c r="I122" s="1" t="s">
        <v>2257</v>
      </c>
      <c r="J122" s="1" t="s">
        <v>2230</v>
      </c>
      <c r="K122" s="3">
        <v>3</v>
      </c>
      <c r="L122" s="4">
        <v>59.99</v>
      </c>
      <c r="M122" s="4">
        <f t="shared" si="1"/>
        <v>179.97</v>
      </c>
    </row>
    <row r="123" spans="1:13" ht="15.75" customHeight="1">
      <c r="A123" s="1" t="s">
        <v>2569</v>
      </c>
      <c r="B123" s="1" t="str">
        <f>"889918663626"</f>
        <v>889918663626</v>
      </c>
      <c r="C123" s="1" t="s">
        <v>2570</v>
      </c>
      <c r="D123" s="2" t="s">
        <v>2564</v>
      </c>
      <c r="E123" s="1" t="s">
        <v>2456</v>
      </c>
      <c r="F123" s="1" t="s">
        <v>2565</v>
      </c>
      <c r="G123" s="1" t="str">
        <f>"7"</f>
        <v>7</v>
      </c>
      <c r="H123" s="1" t="s">
        <v>2566</v>
      </c>
      <c r="I123" s="1" t="s">
        <v>2257</v>
      </c>
      <c r="J123" s="1" t="s">
        <v>2230</v>
      </c>
      <c r="K123" s="3">
        <v>1</v>
      </c>
      <c r="L123" s="4">
        <v>59.99</v>
      </c>
      <c r="M123" s="4">
        <f t="shared" si="1"/>
        <v>59.99</v>
      </c>
    </row>
    <row r="124" spans="1:13" ht="15.75" customHeight="1">
      <c r="A124" s="1" t="s">
        <v>2571</v>
      </c>
      <c r="B124" s="1" t="str">
        <f>"889918663640"</f>
        <v>889918663640</v>
      </c>
      <c r="C124" s="1" t="s">
        <v>2572</v>
      </c>
      <c r="D124" s="2" t="s">
        <v>2564</v>
      </c>
      <c r="E124" s="1" t="s">
        <v>2456</v>
      </c>
      <c r="F124" s="1" t="s">
        <v>2565</v>
      </c>
      <c r="G124" s="1" t="str">
        <f>"9"</f>
        <v>9</v>
      </c>
      <c r="H124" s="1" t="s">
        <v>2566</v>
      </c>
      <c r="I124" s="1" t="s">
        <v>2257</v>
      </c>
      <c r="J124" s="1" t="s">
        <v>2230</v>
      </c>
      <c r="K124" s="3">
        <v>3</v>
      </c>
      <c r="L124" s="4">
        <v>59.99</v>
      </c>
      <c r="M124" s="4">
        <f t="shared" si="1"/>
        <v>179.97</v>
      </c>
    </row>
    <row r="125" spans="1:13" ht="15.75" customHeight="1">
      <c r="A125" s="1" t="s">
        <v>2573</v>
      </c>
      <c r="B125" s="1" t="str">
        <f>"889918615427"</f>
        <v>889918615427</v>
      </c>
      <c r="C125" s="1" t="s">
        <v>2574</v>
      </c>
      <c r="D125" s="2" t="s">
        <v>2575</v>
      </c>
      <c r="E125" s="1" t="s">
        <v>2456</v>
      </c>
      <c r="F125" s="1" t="s">
        <v>2457</v>
      </c>
      <c r="G125" s="1" t="str">
        <f>"11"</f>
        <v>11</v>
      </c>
      <c r="H125" s="1" t="s">
        <v>2576</v>
      </c>
      <c r="I125" s="1" t="s">
        <v>2257</v>
      </c>
      <c r="J125" s="1" t="s">
        <v>2230</v>
      </c>
      <c r="K125" s="3">
        <v>2</v>
      </c>
      <c r="L125" s="4">
        <v>59.99</v>
      </c>
      <c r="M125" s="4">
        <f t="shared" si="1"/>
        <v>119.98</v>
      </c>
    </row>
    <row r="126" spans="1:13" ht="15.75" customHeight="1">
      <c r="A126" s="1" t="s">
        <v>2577</v>
      </c>
      <c r="B126" s="1" t="str">
        <f>"889918615373"</f>
        <v>889918615373</v>
      </c>
      <c r="C126" s="1" t="s">
        <v>2578</v>
      </c>
      <c r="D126" s="2" t="s">
        <v>2575</v>
      </c>
      <c r="E126" s="1" t="s">
        <v>2456</v>
      </c>
      <c r="F126" s="1" t="s">
        <v>2457</v>
      </c>
      <c r="G126" s="1" t="str">
        <f>"6"</f>
        <v>6</v>
      </c>
      <c r="H126" s="1" t="s">
        <v>2576</v>
      </c>
      <c r="I126" s="1" t="s">
        <v>2257</v>
      </c>
      <c r="J126" s="1" t="s">
        <v>2230</v>
      </c>
      <c r="K126" s="3">
        <v>4</v>
      </c>
      <c r="L126" s="4">
        <v>59.99</v>
      </c>
      <c r="M126" s="4">
        <f t="shared" si="1"/>
        <v>239.96</v>
      </c>
    </row>
    <row r="127" spans="1:13" ht="15.75" customHeight="1">
      <c r="A127" s="1" t="s">
        <v>2579</v>
      </c>
      <c r="B127" s="1" t="str">
        <f>"889918615380"</f>
        <v>889918615380</v>
      </c>
      <c r="C127" s="1" t="s">
        <v>2580</v>
      </c>
      <c r="D127" s="2" t="s">
        <v>2575</v>
      </c>
      <c r="E127" s="1" t="s">
        <v>2456</v>
      </c>
      <c r="F127" s="1" t="s">
        <v>2457</v>
      </c>
      <c r="G127" s="1" t="str">
        <f>"7"</f>
        <v>7</v>
      </c>
      <c r="H127" s="1" t="s">
        <v>2576</v>
      </c>
      <c r="I127" s="1" t="s">
        <v>2257</v>
      </c>
      <c r="J127" s="1" t="s">
        <v>2230</v>
      </c>
      <c r="K127" s="3">
        <v>7</v>
      </c>
      <c r="L127" s="4">
        <v>59.99</v>
      </c>
      <c r="M127" s="4">
        <f t="shared" si="1"/>
        <v>419.93</v>
      </c>
    </row>
    <row r="128" spans="1:13" ht="15.75" customHeight="1">
      <c r="A128" s="1" t="s">
        <v>2581</v>
      </c>
      <c r="B128" s="1" t="str">
        <f>"889918615403"</f>
        <v>889918615403</v>
      </c>
      <c r="C128" s="1" t="s">
        <v>2582</v>
      </c>
      <c r="D128" s="2" t="s">
        <v>2575</v>
      </c>
      <c r="E128" s="1" t="s">
        <v>2456</v>
      </c>
      <c r="F128" s="1" t="s">
        <v>2457</v>
      </c>
      <c r="G128" s="1" t="str">
        <f>"9"</f>
        <v>9</v>
      </c>
      <c r="H128" s="1" t="s">
        <v>2576</v>
      </c>
      <c r="I128" s="1" t="s">
        <v>2257</v>
      </c>
      <c r="J128" s="1" t="s">
        <v>2230</v>
      </c>
      <c r="K128" s="3">
        <v>8</v>
      </c>
      <c r="L128" s="4">
        <v>59.99</v>
      </c>
      <c r="M128" s="4">
        <f t="shared" si="1"/>
        <v>479.92</v>
      </c>
    </row>
    <row r="129" spans="1:13" ht="15.75" customHeight="1">
      <c r="A129" s="1" t="s">
        <v>2583</v>
      </c>
      <c r="B129" s="1" t="str">
        <f>"889918663732"</f>
        <v>889918663732</v>
      </c>
      <c r="C129" s="1" t="s">
        <v>2584</v>
      </c>
      <c r="D129" s="2" t="s">
        <v>2585</v>
      </c>
      <c r="E129" s="1" t="s">
        <v>2456</v>
      </c>
      <c r="F129" s="1" t="s">
        <v>2481</v>
      </c>
      <c r="G129" s="1" t="str">
        <f>"10"</f>
        <v>10</v>
      </c>
      <c r="H129" s="1" t="s">
        <v>2586</v>
      </c>
      <c r="I129" s="1" t="s">
        <v>2257</v>
      </c>
      <c r="J129" s="1" t="s">
        <v>2230</v>
      </c>
      <c r="K129" s="3">
        <v>2</v>
      </c>
      <c r="L129" s="4">
        <v>59.99</v>
      </c>
      <c r="M129" s="4">
        <f t="shared" si="1"/>
        <v>119.98</v>
      </c>
    </row>
    <row r="130" spans="1:13" ht="15.75" customHeight="1">
      <c r="A130" s="1" t="s">
        <v>2587</v>
      </c>
      <c r="B130" s="1" t="str">
        <f>"889918663749"</f>
        <v>889918663749</v>
      </c>
      <c r="C130" s="1" t="s">
        <v>2588</v>
      </c>
      <c r="D130" s="2" t="s">
        <v>2585</v>
      </c>
      <c r="E130" s="1" t="s">
        <v>2456</v>
      </c>
      <c r="F130" s="1" t="s">
        <v>2481</v>
      </c>
      <c r="G130" s="1" t="str">
        <f>"11"</f>
        <v>11</v>
      </c>
      <c r="H130" s="1" t="s">
        <v>2586</v>
      </c>
      <c r="I130" s="1" t="s">
        <v>2257</v>
      </c>
      <c r="J130" s="1" t="s">
        <v>2230</v>
      </c>
      <c r="K130" s="3">
        <v>6</v>
      </c>
      <c r="L130" s="4">
        <v>59.99</v>
      </c>
      <c r="M130" s="4">
        <f t="shared" ref="M130:M193" si="2">L130*K130</f>
        <v>359.94</v>
      </c>
    </row>
    <row r="131" spans="1:13" ht="15.75" customHeight="1">
      <c r="A131" s="1" t="s">
        <v>2589</v>
      </c>
      <c r="B131" s="1" t="str">
        <f>"889918663695"</f>
        <v>889918663695</v>
      </c>
      <c r="C131" s="1" t="s">
        <v>2590</v>
      </c>
      <c r="D131" s="2" t="s">
        <v>2585</v>
      </c>
      <c r="E131" s="1" t="s">
        <v>2456</v>
      </c>
      <c r="F131" s="1" t="s">
        <v>2481</v>
      </c>
      <c r="G131" s="1" t="str">
        <f>"6"</f>
        <v>6</v>
      </c>
      <c r="H131" s="1" t="s">
        <v>2586</v>
      </c>
      <c r="I131" s="1" t="s">
        <v>2257</v>
      </c>
      <c r="J131" s="1" t="s">
        <v>2230</v>
      </c>
      <c r="K131" s="3">
        <v>3</v>
      </c>
      <c r="L131" s="4">
        <v>59.99</v>
      </c>
      <c r="M131" s="4">
        <f t="shared" si="2"/>
        <v>179.97</v>
      </c>
    </row>
    <row r="132" spans="1:13" ht="15.75" customHeight="1">
      <c r="A132" s="1" t="s">
        <v>2591</v>
      </c>
      <c r="B132" s="1" t="str">
        <f>"889918663718"</f>
        <v>889918663718</v>
      </c>
      <c r="C132" s="1" t="s">
        <v>2592</v>
      </c>
      <c r="D132" s="2" t="s">
        <v>2585</v>
      </c>
      <c r="E132" s="1" t="s">
        <v>2456</v>
      </c>
      <c r="F132" s="1" t="s">
        <v>2481</v>
      </c>
      <c r="G132" s="1" t="str">
        <f>"8"</f>
        <v>8</v>
      </c>
      <c r="H132" s="1" t="s">
        <v>2586</v>
      </c>
      <c r="I132" s="1" t="s">
        <v>2257</v>
      </c>
      <c r="J132" s="1" t="s">
        <v>2230</v>
      </c>
      <c r="K132" s="3">
        <v>3</v>
      </c>
      <c r="L132" s="4">
        <v>59.99</v>
      </c>
      <c r="M132" s="4">
        <f t="shared" si="2"/>
        <v>179.97</v>
      </c>
    </row>
    <row r="133" spans="1:13" ht="15.75" customHeight="1">
      <c r="A133" s="1" t="s">
        <v>2593</v>
      </c>
      <c r="B133" s="1" t="str">
        <f>"889918807471"</f>
        <v>889918807471</v>
      </c>
      <c r="C133" s="1" t="s">
        <v>2594</v>
      </c>
      <c r="D133" s="2" t="s">
        <v>2595</v>
      </c>
      <c r="E133" s="1" t="s">
        <v>2456</v>
      </c>
      <c r="F133" s="1" t="s">
        <v>2565</v>
      </c>
      <c r="G133" s="1" t="str">
        <f>"10"</f>
        <v>10</v>
      </c>
      <c r="H133" s="1" t="s">
        <v>2596</v>
      </c>
      <c r="I133" s="1" t="s">
        <v>2257</v>
      </c>
      <c r="J133" s="1" t="s">
        <v>2230</v>
      </c>
      <c r="K133" s="3">
        <v>2</v>
      </c>
      <c r="L133" s="4">
        <v>60</v>
      </c>
      <c r="M133" s="4">
        <f t="shared" si="2"/>
        <v>120</v>
      </c>
    </row>
    <row r="134" spans="1:13" ht="15.75" customHeight="1">
      <c r="A134" s="1" t="s">
        <v>2597</v>
      </c>
      <c r="B134" s="1" t="str">
        <f>"889918807488"</f>
        <v>889918807488</v>
      </c>
      <c r="C134" s="1" t="s">
        <v>2598</v>
      </c>
      <c r="D134" s="2" t="s">
        <v>2595</v>
      </c>
      <c r="E134" s="1" t="s">
        <v>2456</v>
      </c>
      <c r="F134" s="1" t="s">
        <v>2565</v>
      </c>
      <c r="G134" s="1" t="str">
        <f>"11"</f>
        <v>11</v>
      </c>
      <c r="H134" s="1" t="s">
        <v>2596</v>
      </c>
      <c r="I134" s="1" t="s">
        <v>2257</v>
      </c>
      <c r="J134" s="1" t="s">
        <v>2230</v>
      </c>
      <c r="K134" s="3">
        <v>3</v>
      </c>
      <c r="L134" s="4">
        <v>60</v>
      </c>
      <c r="M134" s="4">
        <f t="shared" si="2"/>
        <v>180</v>
      </c>
    </row>
    <row r="135" spans="1:13" ht="15.75" customHeight="1">
      <c r="A135" s="1" t="s">
        <v>2599</v>
      </c>
      <c r="B135" s="1" t="str">
        <f>"889918807426"</f>
        <v>889918807426</v>
      </c>
      <c r="C135" s="1" t="s">
        <v>2600</v>
      </c>
      <c r="D135" s="2" t="s">
        <v>2595</v>
      </c>
      <c r="E135" s="1" t="s">
        <v>2456</v>
      </c>
      <c r="F135" s="1" t="s">
        <v>2565</v>
      </c>
      <c r="G135" s="1" t="str">
        <f>"6"</f>
        <v>6</v>
      </c>
      <c r="H135" s="1" t="s">
        <v>2596</v>
      </c>
      <c r="I135" s="1" t="s">
        <v>2257</v>
      </c>
      <c r="J135" s="1" t="s">
        <v>2230</v>
      </c>
      <c r="K135" s="3">
        <v>1</v>
      </c>
      <c r="L135" s="4">
        <v>60</v>
      </c>
      <c r="M135" s="4">
        <f t="shared" si="2"/>
        <v>60</v>
      </c>
    </row>
    <row r="136" spans="1:13" ht="15.75" customHeight="1">
      <c r="A136" s="1" t="s">
        <v>2601</v>
      </c>
      <c r="B136" s="1" t="str">
        <f>"889918807433"</f>
        <v>889918807433</v>
      </c>
      <c r="C136" s="1" t="s">
        <v>2602</v>
      </c>
      <c r="D136" s="2" t="s">
        <v>2595</v>
      </c>
      <c r="E136" s="1" t="s">
        <v>2456</v>
      </c>
      <c r="F136" s="1" t="s">
        <v>2565</v>
      </c>
      <c r="G136" s="1" t="str">
        <f>"7"</f>
        <v>7</v>
      </c>
      <c r="H136" s="1" t="s">
        <v>2596</v>
      </c>
      <c r="I136" s="1" t="s">
        <v>2257</v>
      </c>
      <c r="J136" s="1" t="s">
        <v>2230</v>
      </c>
      <c r="K136" s="3">
        <v>16</v>
      </c>
      <c r="L136" s="4">
        <v>60</v>
      </c>
      <c r="M136" s="4">
        <f t="shared" si="2"/>
        <v>960</v>
      </c>
    </row>
    <row r="137" spans="1:13" ht="15.75" customHeight="1">
      <c r="A137" s="1" t="s">
        <v>2603</v>
      </c>
      <c r="B137" s="1" t="str">
        <f>"889918807440"</f>
        <v>889918807440</v>
      </c>
      <c r="C137" s="1" t="s">
        <v>2604</v>
      </c>
      <c r="D137" s="2" t="s">
        <v>2595</v>
      </c>
      <c r="E137" s="1" t="s">
        <v>2456</v>
      </c>
      <c r="F137" s="1" t="s">
        <v>2565</v>
      </c>
      <c r="G137" s="1" t="str">
        <f>"8"</f>
        <v>8</v>
      </c>
      <c r="H137" s="1" t="s">
        <v>2596</v>
      </c>
      <c r="I137" s="1" t="s">
        <v>2257</v>
      </c>
      <c r="J137" s="1" t="s">
        <v>2230</v>
      </c>
      <c r="K137" s="3">
        <v>22</v>
      </c>
      <c r="L137" s="4">
        <v>60</v>
      </c>
      <c r="M137" s="4">
        <f t="shared" si="2"/>
        <v>1320</v>
      </c>
    </row>
    <row r="138" spans="1:13" ht="15.75" customHeight="1">
      <c r="A138" s="1" t="s">
        <v>2605</v>
      </c>
      <c r="B138" s="1" t="str">
        <f>"889918807457"</f>
        <v>889918807457</v>
      </c>
      <c r="C138" s="1" t="s">
        <v>2606</v>
      </c>
      <c r="D138" s="2" t="s">
        <v>2595</v>
      </c>
      <c r="E138" s="1" t="s">
        <v>2456</v>
      </c>
      <c r="F138" s="1" t="s">
        <v>2565</v>
      </c>
      <c r="G138" s="1" t="str">
        <f>"9"</f>
        <v>9</v>
      </c>
      <c r="H138" s="1" t="s">
        <v>2596</v>
      </c>
      <c r="I138" s="1" t="s">
        <v>2257</v>
      </c>
      <c r="J138" s="1" t="s">
        <v>2230</v>
      </c>
      <c r="K138" s="3">
        <v>18</v>
      </c>
      <c r="L138" s="4">
        <v>60</v>
      </c>
      <c r="M138" s="4">
        <f t="shared" si="2"/>
        <v>1080</v>
      </c>
    </row>
    <row r="139" spans="1:13" ht="15.75" customHeight="1">
      <c r="A139" s="1" t="s">
        <v>2607</v>
      </c>
      <c r="B139" s="1" t="str">
        <f>"889918689466"</f>
        <v>889918689466</v>
      </c>
      <c r="C139" s="1" t="s">
        <v>2608</v>
      </c>
      <c r="D139" s="2" t="s">
        <v>2609</v>
      </c>
      <c r="E139" s="1" t="s">
        <v>2456</v>
      </c>
      <c r="F139" s="1" t="s">
        <v>2610</v>
      </c>
      <c r="G139" s="1" t="str">
        <f>"6"</f>
        <v>6</v>
      </c>
      <c r="H139" s="1" t="s">
        <v>2611</v>
      </c>
      <c r="I139" s="1" t="s">
        <v>2257</v>
      </c>
      <c r="J139" s="1" t="s">
        <v>2230</v>
      </c>
      <c r="K139" s="3">
        <v>16</v>
      </c>
      <c r="L139" s="4">
        <v>124.99</v>
      </c>
      <c r="M139" s="4">
        <f t="shared" si="2"/>
        <v>1999.84</v>
      </c>
    </row>
    <row r="140" spans="1:13" ht="15.75" customHeight="1">
      <c r="A140" s="1" t="s">
        <v>2612</v>
      </c>
      <c r="B140" s="1" t="str">
        <f>"889918689473"</f>
        <v>889918689473</v>
      </c>
      <c r="C140" s="1" t="s">
        <v>2613</v>
      </c>
      <c r="D140" s="2" t="s">
        <v>2609</v>
      </c>
      <c r="E140" s="1" t="s">
        <v>2456</v>
      </c>
      <c r="F140" s="1" t="s">
        <v>2610</v>
      </c>
      <c r="G140" s="1" t="str">
        <f>"7"</f>
        <v>7</v>
      </c>
      <c r="H140" s="1" t="s">
        <v>2611</v>
      </c>
      <c r="I140" s="1" t="s">
        <v>2257</v>
      </c>
      <c r="J140" s="1" t="s">
        <v>2230</v>
      </c>
      <c r="K140" s="3">
        <v>20</v>
      </c>
      <c r="L140" s="4">
        <v>124.99</v>
      </c>
      <c r="M140" s="4">
        <f t="shared" si="2"/>
        <v>2499.7999999999997</v>
      </c>
    </row>
    <row r="141" spans="1:13" ht="15.75" customHeight="1">
      <c r="A141" s="1" t="s">
        <v>2614</v>
      </c>
      <c r="B141" s="1" t="str">
        <f>"889918689497"</f>
        <v>889918689497</v>
      </c>
      <c r="C141" s="1" t="s">
        <v>2615</v>
      </c>
      <c r="D141" s="2" t="s">
        <v>2609</v>
      </c>
      <c r="E141" s="1" t="s">
        <v>2456</v>
      </c>
      <c r="F141" s="1" t="s">
        <v>2610</v>
      </c>
      <c r="G141" s="1" t="str">
        <f>"9"</f>
        <v>9</v>
      </c>
      <c r="H141" s="1" t="s">
        <v>2611</v>
      </c>
      <c r="I141" s="1" t="s">
        <v>2257</v>
      </c>
      <c r="J141" s="1" t="s">
        <v>2230</v>
      </c>
      <c r="K141" s="3">
        <v>2</v>
      </c>
      <c r="L141" s="4">
        <v>124.99</v>
      </c>
      <c r="M141" s="4">
        <f t="shared" si="2"/>
        <v>249.98</v>
      </c>
    </row>
    <row r="142" spans="1:13" ht="15.75" customHeight="1">
      <c r="A142" s="1" t="s">
        <v>2616</v>
      </c>
      <c r="B142" s="1" t="str">
        <f>"889918859807"</f>
        <v>889918859807</v>
      </c>
      <c r="C142" s="1" t="s">
        <v>2617</v>
      </c>
      <c r="D142" s="2" t="s">
        <v>2618</v>
      </c>
      <c r="E142" s="1" t="s">
        <v>2456</v>
      </c>
      <c r="F142" s="1" t="s">
        <v>2470</v>
      </c>
      <c r="G142" s="1" t="str">
        <f>"10"</f>
        <v>10</v>
      </c>
      <c r="H142" s="1" t="s">
        <v>2619</v>
      </c>
      <c r="I142" s="1" t="s">
        <v>2257</v>
      </c>
      <c r="J142" s="1" t="s">
        <v>2230</v>
      </c>
      <c r="K142" s="3">
        <v>17</v>
      </c>
      <c r="L142" s="4">
        <v>69.989999999999995</v>
      </c>
      <c r="M142" s="4">
        <f t="shared" si="2"/>
        <v>1189.83</v>
      </c>
    </row>
    <row r="143" spans="1:13" ht="15.75" customHeight="1">
      <c r="A143" s="1" t="s">
        <v>2620</v>
      </c>
      <c r="B143" s="1" t="str">
        <f>"889918859777"</f>
        <v>889918859777</v>
      </c>
      <c r="C143" s="1" t="s">
        <v>2621</v>
      </c>
      <c r="D143" s="2" t="s">
        <v>2618</v>
      </c>
      <c r="E143" s="1" t="s">
        <v>2456</v>
      </c>
      <c r="F143" s="1" t="s">
        <v>2470</v>
      </c>
      <c r="G143" s="1" t="str">
        <f>"7"</f>
        <v>7</v>
      </c>
      <c r="H143" s="1" t="s">
        <v>2619</v>
      </c>
      <c r="I143" s="1" t="s">
        <v>2257</v>
      </c>
      <c r="J143" s="1" t="s">
        <v>2230</v>
      </c>
      <c r="K143" s="3">
        <v>15</v>
      </c>
      <c r="L143" s="4">
        <v>69.989999999999995</v>
      </c>
      <c r="M143" s="4">
        <f t="shared" si="2"/>
        <v>1049.8499999999999</v>
      </c>
    </row>
    <row r="144" spans="1:13" ht="15.75" customHeight="1">
      <c r="A144" s="1" t="s">
        <v>2622</v>
      </c>
      <c r="B144" s="1" t="str">
        <f>"889918859784"</f>
        <v>889918859784</v>
      </c>
      <c r="C144" s="1" t="s">
        <v>2623</v>
      </c>
      <c r="D144" s="2" t="s">
        <v>2618</v>
      </c>
      <c r="E144" s="1" t="s">
        <v>2456</v>
      </c>
      <c r="F144" s="1" t="s">
        <v>2470</v>
      </c>
      <c r="G144" s="1" t="str">
        <f>"8"</f>
        <v>8</v>
      </c>
      <c r="H144" s="1" t="s">
        <v>2619</v>
      </c>
      <c r="I144" s="1" t="s">
        <v>2257</v>
      </c>
      <c r="J144" s="1" t="s">
        <v>2230</v>
      </c>
      <c r="K144" s="3">
        <v>20</v>
      </c>
      <c r="L144" s="4">
        <v>69.989999999999995</v>
      </c>
      <c r="M144" s="4">
        <f t="shared" si="2"/>
        <v>1399.8</v>
      </c>
    </row>
    <row r="145" spans="1:13" ht="15.75" customHeight="1">
      <c r="A145" s="1" t="s">
        <v>2624</v>
      </c>
      <c r="B145" s="1" t="str">
        <f>"889918859791"</f>
        <v>889918859791</v>
      </c>
      <c r="C145" s="1" t="s">
        <v>2625</v>
      </c>
      <c r="D145" s="2" t="s">
        <v>2618</v>
      </c>
      <c r="E145" s="1" t="s">
        <v>2456</v>
      </c>
      <c r="F145" s="1" t="s">
        <v>2470</v>
      </c>
      <c r="G145" s="1" t="str">
        <f>"9"</f>
        <v>9</v>
      </c>
      <c r="H145" s="1" t="s">
        <v>2619</v>
      </c>
      <c r="I145" s="1" t="s">
        <v>2257</v>
      </c>
      <c r="J145" s="1" t="s">
        <v>2230</v>
      </c>
      <c r="K145" s="3">
        <v>24</v>
      </c>
      <c r="L145" s="4">
        <v>69.989999999999995</v>
      </c>
      <c r="M145" s="4">
        <f t="shared" si="2"/>
        <v>1679.7599999999998</v>
      </c>
    </row>
    <row r="146" spans="1:13" ht="15.75" customHeight="1">
      <c r="A146" s="1" t="s">
        <v>2626</v>
      </c>
      <c r="B146" s="1" t="str">
        <f>"889918859883"</f>
        <v>889918859883</v>
      </c>
      <c r="C146" s="1" t="s">
        <v>2627</v>
      </c>
      <c r="D146" s="2" t="s">
        <v>2628</v>
      </c>
      <c r="E146" s="1" t="s">
        <v>2456</v>
      </c>
      <c r="F146" s="1" t="s">
        <v>2481</v>
      </c>
      <c r="G146" s="1" t="str">
        <f>"10"</f>
        <v>10</v>
      </c>
      <c r="H146" s="1" t="s">
        <v>2629</v>
      </c>
      <c r="I146" s="1" t="s">
        <v>2257</v>
      </c>
      <c r="J146" s="1" t="s">
        <v>2230</v>
      </c>
      <c r="K146" s="3">
        <v>12</v>
      </c>
      <c r="L146" s="4">
        <v>69.989999999999995</v>
      </c>
      <c r="M146" s="4">
        <f t="shared" si="2"/>
        <v>839.87999999999988</v>
      </c>
    </row>
    <row r="147" spans="1:13" ht="15.75" customHeight="1">
      <c r="A147" s="1" t="s">
        <v>2630</v>
      </c>
      <c r="B147" s="1" t="str">
        <f>"889918859845"</f>
        <v>889918859845</v>
      </c>
      <c r="C147" s="1" t="s">
        <v>2631</v>
      </c>
      <c r="D147" s="2" t="s">
        <v>2628</v>
      </c>
      <c r="E147" s="1" t="s">
        <v>2456</v>
      </c>
      <c r="F147" s="1" t="s">
        <v>2481</v>
      </c>
      <c r="G147" s="1" t="str">
        <f>"6"</f>
        <v>6</v>
      </c>
      <c r="H147" s="1" t="s">
        <v>2629</v>
      </c>
      <c r="I147" s="1" t="s">
        <v>2257</v>
      </c>
      <c r="J147" s="1" t="s">
        <v>2230</v>
      </c>
      <c r="K147" s="3">
        <v>5</v>
      </c>
      <c r="L147" s="4">
        <v>69.989999999999995</v>
      </c>
      <c r="M147" s="4">
        <f t="shared" si="2"/>
        <v>349.95</v>
      </c>
    </row>
    <row r="148" spans="1:13" ht="15.75" customHeight="1">
      <c r="A148" s="1" t="s">
        <v>2632</v>
      </c>
      <c r="B148" s="1" t="str">
        <f>"889918859852"</f>
        <v>889918859852</v>
      </c>
      <c r="C148" s="1" t="s">
        <v>2633</v>
      </c>
      <c r="D148" s="2" t="s">
        <v>2628</v>
      </c>
      <c r="E148" s="1" t="s">
        <v>2456</v>
      </c>
      <c r="F148" s="1" t="s">
        <v>2481</v>
      </c>
      <c r="G148" s="1" t="str">
        <f>"7"</f>
        <v>7</v>
      </c>
      <c r="H148" s="1" t="s">
        <v>2629</v>
      </c>
      <c r="I148" s="1" t="s">
        <v>2257</v>
      </c>
      <c r="J148" s="1" t="s">
        <v>2230</v>
      </c>
      <c r="K148" s="3">
        <v>3</v>
      </c>
      <c r="L148" s="4">
        <v>69.989999999999995</v>
      </c>
      <c r="M148" s="4">
        <f t="shared" si="2"/>
        <v>209.96999999999997</v>
      </c>
    </row>
    <row r="149" spans="1:13" ht="15.75" customHeight="1">
      <c r="A149" s="1" t="s">
        <v>2634</v>
      </c>
      <c r="B149" s="1" t="str">
        <f>"889918859869"</f>
        <v>889918859869</v>
      </c>
      <c r="C149" s="1" t="s">
        <v>2635</v>
      </c>
      <c r="D149" s="2" t="s">
        <v>2628</v>
      </c>
      <c r="E149" s="1" t="s">
        <v>2456</v>
      </c>
      <c r="F149" s="1" t="s">
        <v>2481</v>
      </c>
      <c r="G149" s="1" t="str">
        <f>"8"</f>
        <v>8</v>
      </c>
      <c r="H149" s="1" t="s">
        <v>2629</v>
      </c>
      <c r="I149" s="1" t="s">
        <v>2257</v>
      </c>
      <c r="J149" s="1" t="s">
        <v>2230</v>
      </c>
      <c r="K149" s="3">
        <v>11</v>
      </c>
      <c r="L149" s="4">
        <v>69.989999999999995</v>
      </c>
      <c r="M149" s="4">
        <f t="shared" si="2"/>
        <v>769.89</v>
      </c>
    </row>
    <row r="150" spans="1:13" ht="15.75" customHeight="1">
      <c r="A150" s="1" t="s">
        <v>2636</v>
      </c>
      <c r="B150" s="1" t="str">
        <f>"889918859876"</f>
        <v>889918859876</v>
      </c>
      <c r="C150" s="1" t="s">
        <v>2637</v>
      </c>
      <c r="D150" s="2" t="s">
        <v>2628</v>
      </c>
      <c r="E150" s="1" t="s">
        <v>2456</v>
      </c>
      <c r="F150" s="1" t="s">
        <v>2481</v>
      </c>
      <c r="G150" s="1" t="str">
        <f>"9"</f>
        <v>9</v>
      </c>
      <c r="H150" s="1" t="s">
        <v>2629</v>
      </c>
      <c r="I150" s="1" t="s">
        <v>2257</v>
      </c>
      <c r="J150" s="1" t="s">
        <v>2230</v>
      </c>
      <c r="K150" s="3">
        <v>10</v>
      </c>
      <c r="L150" s="4">
        <v>69.989999999999995</v>
      </c>
      <c r="M150" s="4">
        <f t="shared" si="2"/>
        <v>699.9</v>
      </c>
    </row>
    <row r="151" spans="1:13" ht="15.75" customHeight="1">
      <c r="A151" s="1" t="s">
        <v>2638</v>
      </c>
      <c r="B151" s="1" t="str">
        <f>"889918482913"</f>
        <v>889918482913</v>
      </c>
      <c r="C151" s="1" t="s">
        <v>2639</v>
      </c>
      <c r="D151" s="2" t="s">
        <v>2640</v>
      </c>
      <c r="E151" s="1" t="s">
        <v>2456</v>
      </c>
      <c r="F151" s="1" t="s">
        <v>2641</v>
      </c>
      <c r="G151" s="1" t="str">
        <f>"5"</f>
        <v>5</v>
      </c>
      <c r="H151" s="1" t="s">
        <v>2642</v>
      </c>
      <c r="I151" s="1" t="s">
        <v>2257</v>
      </c>
      <c r="J151" s="1" t="s">
        <v>2230</v>
      </c>
      <c r="K151" s="3">
        <v>3</v>
      </c>
      <c r="L151" s="4">
        <v>79.989999999999995</v>
      </c>
      <c r="M151" s="4">
        <f t="shared" si="2"/>
        <v>239.96999999999997</v>
      </c>
    </row>
    <row r="152" spans="1:13" ht="15.75" customHeight="1">
      <c r="A152" s="1" t="s">
        <v>2643</v>
      </c>
      <c r="B152" s="1" t="str">
        <f>"889918482920"</f>
        <v>889918482920</v>
      </c>
      <c r="C152" s="1" t="s">
        <v>2644</v>
      </c>
      <c r="D152" s="2" t="s">
        <v>2640</v>
      </c>
      <c r="E152" s="1" t="s">
        <v>2456</v>
      </c>
      <c r="F152" s="1" t="s">
        <v>2641</v>
      </c>
      <c r="G152" s="1" t="str">
        <f>"6"</f>
        <v>6</v>
      </c>
      <c r="H152" s="1" t="s">
        <v>2642</v>
      </c>
      <c r="I152" s="1" t="s">
        <v>2257</v>
      </c>
      <c r="J152" s="1" t="s">
        <v>2230</v>
      </c>
      <c r="K152" s="3">
        <v>7</v>
      </c>
      <c r="L152" s="4">
        <v>79.989999999999995</v>
      </c>
      <c r="M152" s="4">
        <f t="shared" si="2"/>
        <v>559.92999999999995</v>
      </c>
    </row>
    <row r="153" spans="1:13" ht="15.75" customHeight="1">
      <c r="A153" s="1" t="s">
        <v>2645</v>
      </c>
      <c r="B153" s="1" t="str">
        <f>"889918482937"</f>
        <v>889918482937</v>
      </c>
      <c r="C153" s="1" t="s">
        <v>2646</v>
      </c>
      <c r="D153" s="2" t="s">
        <v>2640</v>
      </c>
      <c r="E153" s="1" t="s">
        <v>2456</v>
      </c>
      <c r="F153" s="1" t="s">
        <v>2641</v>
      </c>
      <c r="G153" s="1" t="str">
        <f>"7"</f>
        <v>7</v>
      </c>
      <c r="H153" s="1" t="s">
        <v>2642</v>
      </c>
      <c r="I153" s="1" t="s">
        <v>2257</v>
      </c>
      <c r="J153" s="1" t="s">
        <v>2230</v>
      </c>
      <c r="K153" s="3">
        <v>16</v>
      </c>
      <c r="L153" s="4">
        <v>79.989999999999995</v>
      </c>
      <c r="M153" s="4">
        <f t="shared" si="2"/>
        <v>1279.8399999999999</v>
      </c>
    </row>
    <row r="154" spans="1:13" ht="15.75" customHeight="1">
      <c r="A154" s="1" t="s">
        <v>2647</v>
      </c>
      <c r="B154" s="1" t="str">
        <f>"889918482944"</f>
        <v>889918482944</v>
      </c>
      <c r="C154" s="1" t="s">
        <v>2648</v>
      </c>
      <c r="D154" s="2" t="s">
        <v>2640</v>
      </c>
      <c r="E154" s="1" t="s">
        <v>2456</v>
      </c>
      <c r="F154" s="1" t="s">
        <v>2641</v>
      </c>
      <c r="G154" s="1" t="str">
        <f>"8"</f>
        <v>8</v>
      </c>
      <c r="H154" s="1" t="s">
        <v>2642</v>
      </c>
      <c r="I154" s="1" t="s">
        <v>2257</v>
      </c>
      <c r="J154" s="1" t="s">
        <v>2230</v>
      </c>
      <c r="K154" s="3">
        <v>26</v>
      </c>
      <c r="L154" s="4">
        <v>79.989999999999995</v>
      </c>
      <c r="M154" s="4">
        <f t="shared" si="2"/>
        <v>2079.7399999999998</v>
      </c>
    </row>
    <row r="155" spans="1:13" ht="15.75" customHeight="1">
      <c r="A155" s="1" t="s">
        <v>2649</v>
      </c>
      <c r="B155" s="1" t="str">
        <f>"889918482951"</f>
        <v>889918482951</v>
      </c>
      <c r="C155" s="1" t="s">
        <v>2650</v>
      </c>
      <c r="D155" s="2" t="s">
        <v>2640</v>
      </c>
      <c r="E155" s="1" t="s">
        <v>2456</v>
      </c>
      <c r="F155" s="1" t="s">
        <v>2641</v>
      </c>
      <c r="G155" s="1" t="str">
        <f>"9"</f>
        <v>9</v>
      </c>
      <c r="H155" s="1" t="s">
        <v>2642</v>
      </c>
      <c r="I155" s="1" t="s">
        <v>2257</v>
      </c>
      <c r="J155" s="1" t="s">
        <v>2230</v>
      </c>
      <c r="K155" s="3">
        <v>10</v>
      </c>
      <c r="L155" s="4">
        <v>79.989999999999995</v>
      </c>
      <c r="M155" s="4">
        <f t="shared" si="2"/>
        <v>799.9</v>
      </c>
    </row>
    <row r="156" spans="1:13" ht="15.75" customHeight="1">
      <c r="A156" s="1" t="s">
        <v>2651</v>
      </c>
      <c r="B156" s="1" t="str">
        <f>"889918482883"</f>
        <v>889918482883</v>
      </c>
      <c r="C156" s="1" t="s">
        <v>2652</v>
      </c>
      <c r="D156" s="2" t="s">
        <v>2653</v>
      </c>
      <c r="E156" s="1" t="s">
        <v>2456</v>
      </c>
      <c r="F156" s="1" t="s">
        <v>2654</v>
      </c>
      <c r="G156" s="1" t="str">
        <f>"11"</f>
        <v>11</v>
      </c>
      <c r="H156" s="1" t="s">
        <v>2655</v>
      </c>
      <c r="I156" s="1" t="s">
        <v>2257</v>
      </c>
      <c r="J156" s="1" t="s">
        <v>2230</v>
      </c>
      <c r="K156" s="3">
        <v>4</v>
      </c>
      <c r="L156" s="4">
        <v>79.989999999999995</v>
      </c>
      <c r="M156" s="4">
        <f t="shared" si="2"/>
        <v>319.95999999999998</v>
      </c>
    </row>
    <row r="157" spans="1:13" ht="15.75" customHeight="1">
      <c r="A157" s="1" t="s">
        <v>2656</v>
      </c>
      <c r="B157" s="1" t="str">
        <f>"889918482821"</f>
        <v>889918482821</v>
      </c>
      <c r="C157" s="1" t="s">
        <v>2657</v>
      </c>
      <c r="D157" s="2" t="s">
        <v>2653</v>
      </c>
      <c r="E157" s="1" t="s">
        <v>2456</v>
      </c>
      <c r="F157" s="1" t="s">
        <v>2654</v>
      </c>
      <c r="G157" s="1" t="str">
        <f>"5"</f>
        <v>5</v>
      </c>
      <c r="H157" s="1" t="s">
        <v>2655</v>
      </c>
      <c r="I157" s="1" t="s">
        <v>2257</v>
      </c>
      <c r="J157" s="1" t="s">
        <v>2230</v>
      </c>
      <c r="K157" s="3">
        <v>4</v>
      </c>
      <c r="L157" s="4">
        <v>79.989999999999995</v>
      </c>
      <c r="M157" s="4">
        <f t="shared" si="2"/>
        <v>319.95999999999998</v>
      </c>
    </row>
    <row r="158" spans="1:13" ht="15.75" customHeight="1">
      <c r="A158" s="1" t="s">
        <v>2658</v>
      </c>
      <c r="B158" s="1" t="str">
        <f>"889918482838"</f>
        <v>889918482838</v>
      </c>
      <c r="C158" s="1" t="s">
        <v>2659</v>
      </c>
      <c r="D158" s="2" t="s">
        <v>2653</v>
      </c>
      <c r="E158" s="1" t="s">
        <v>2456</v>
      </c>
      <c r="F158" s="1" t="s">
        <v>2654</v>
      </c>
      <c r="G158" s="1" t="str">
        <f>"6"</f>
        <v>6</v>
      </c>
      <c r="H158" s="1" t="s">
        <v>2655</v>
      </c>
      <c r="I158" s="1" t="s">
        <v>2257</v>
      </c>
      <c r="J158" s="1" t="s">
        <v>2230</v>
      </c>
      <c r="K158" s="3">
        <v>4</v>
      </c>
      <c r="L158" s="4">
        <v>79.989999999999995</v>
      </c>
      <c r="M158" s="4">
        <f t="shared" si="2"/>
        <v>319.95999999999998</v>
      </c>
    </row>
    <row r="159" spans="1:13" ht="15.75" customHeight="1">
      <c r="A159" s="1" t="s">
        <v>2660</v>
      </c>
      <c r="B159" s="1" t="str">
        <f>"889918482852"</f>
        <v>889918482852</v>
      </c>
      <c r="C159" s="1" t="s">
        <v>2661</v>
      </c>
      <c r="D159" s="2" t="s">
        <v>2653</v>
      </c>
      <c r="E159" s="1" t="s">
        <v>2456</v>
      </c>
      <c r="F159" s="1" t="s">
        <v>2654</v>
      </c>
      <c r="G159" s="1" t="str">
        <f>"8"</f>
        <v>8</v>
      </c>
      <c r="H159" s="1" t="s">
        <v>2655</v>
      </c>
      <c r="I159" s="1" t="s">
        <v>2257</v>
      </c>
      <c r="J159" s="1" t="s">
        <v>2230</v>
      </c>
      <c r="K159" s="3">
        <v>4</v>
      </c>
      <c r="L159" s="4">
        <v>79.989999999999995</v>
      </c>
      <c r="M159" s="4">
        <f t="shared" si="2"/>
        <v>319.95999999999998</v>
      </c>
    </row>
    <row r="160" spans="1:13" ht="15.75" customHeight="1">
      <c r="A160" s="1" t="s">
        <v>2662</v>
      </c>
      <c r="B160" s="1" t="str">
        <f>"889918483002"</f>
        <v>889918483002</v>
      </c>
      <c r="C160" s="1" t="s">
        <v>2663</v>
      </c>
      <c r="D160" s="2" t="s">
        <v>2664</v>
      </c>
      <c r="E160" s="1" t="s">
        <v>2456</v>
      </c>
      <c r="F160" s="1" t="s">
        <v>2665</v>
      </c>
      <c r="G160" s="1" t="str">
        <f>"5"</f>
        <v>5</v>
      </c>
      <c r="H160" s="1" t="s">
        <v>2666</v>
      </c>
      <c r="I160" s="1" t="s">
        <v>2257</v>
      </c>
      <c r="J160" s="1" t="s">
        <v>2230</v>
      </c>
      <c r="K160" s="3">
        <v>2</v>
      </c>
      <c r="L160" s="4">
        <v>79.989999999999995</v>
      </c>
      <c r="M160" s="4">
        <f t="shared" si="2"/>
        <v>159.97999999999999</v>
      </c>
    </row>
    <row r="161" spans="1:13" ht="15.75" customHeight="1">
      <c r="A161" s="1" t="s">
        <v>2667</v>
      </c>
      <c r="B161" s="1" t="str">
        <f>"889918483019"</f>
        <v>889918483019</v>
      </c>
      <c r="C161" s="1" t="s">
        <v>2668</v>
      </c>
      <c r="D161" s="2" t="s">
        <v>2664</v>
      </c>
      <c r="E161" s="1" t="s">
        <v>2456</v>
      </c>
      <c r="F161" s="1" t="s">
        <v>2665</v>
      </c>
      <c r="G161" s="1" t="str">
        <f>"6"</f>
        <v>6</v>
      </c>
      <c r="H161" s="1" t="s">
        <v>2666</v>
      </c>
      <c r="I161" s="1" t="s">
        <v>2257</v>
      </c>
      <c r="J161" s="1" t="s">
        <v>2230</v>
      </c>
      <c r="K161" s="3">
        <v>7</v>
      </c>
      <c r="L161" s="4">
        <v>79.989999999999995</v>
      </c>
      <c r="M161" s="4">
        <f t="shared" si="2"/>
        <v>559.92999999999995</v>
      </c>
    </row>
    <row r="162" spans="1:13" ht="15.75" customHeight="1">
      <c r="A162" s="1" t="s">
        <v>2669</v>
      </c>
      <c r="B162" s="1" t="str">
        <f>"889918483026"</f>
        <v>889918483026</v>
      </c>
      <c r="C162" s="1" t="s">
        <v>2670</v>
      </c>
      <c r="D162" s="2" t="s">
        <v>2664</v>
      </c>
      <c r="E162" s="1" t="s">
        <v>2456</v>
      </c>
      <c r="F162" s="1" t="s">
        <v>2665</v>
      </c>
      <c r="G162" s="1" t="str">
        <f>"7"</f>
        <v>7</v>
      </c>
      <c r="H162" s="1" t="s">
        <v>2666</v>
      </c>
      <c r="I162" s="1" t="s">
        <v>2257</v>
      </c>
      <c r="J162" s="1" t="s">
        <v>2230</v>
      </c>
      <c r="K162" s="3">
        <v>6</v>
      </c>
      <c r="L162" s="4">
        <v>79.989999999999995</v>
      </c>
      <c r="M162" s="4">
        <f t="shared" si="2"/>
        <v>479.93999999999994</v>
      </c>
    </row>
    <row r="163" spans="1:13" ht="15.75" customHeight="1">
      <c r="A163" s="1" t="s">
        <v>2671</v>
      </c>
      <c r="B163" s="1" t="str">
        <f>"889918483033"</f>
        <v>889918483033</v>
      </c>
      <c r="C163" s="1" t="s">
        <v>2672</v>
      </c>
      <c r="D163" s="2" t="s">
        <v>2664</v>
      </c>
      <c r="E163" s="1" t="s">
        <v>2456</v>
      </c>
      <c r="F163" s="1" t="s">
        <v>2665</v>
      </c>
      <c r="G163" s="1" t="str">
        <f>"8"</f>
        <v>8</v>
      </c>
      <c r="H163" s="1" t="s">
        <v>2666</v>
      </c>
      <c r="I163" s="1" t="s">
        <v>2257</v>
      </c>
      <c r="J163" s="1" t="s">
        <v>2230</v>
      </c>
      <c r="K163" s="3">
        <v>3</v>
      </c>
      <c r="L163" s="4">
        <v>79.989999999999995</v>
      </c>
      <c r="M163" s="4">
        <f t="shared" si="2"/>
        <v>239.96999999999997</v>
      </c>
    </row>
    <row r="164" spans="1:13" ht="15.75" customHeight="1">
      <c r="A164" s="1" t="s">
        <v>2673</v>
      </c>
      <c r="B164" s="1" t="str">
        <f>"889918482791"</f>
        <v>889918482791</v>
      </c>
      <c r="C164" s="1" t="s">
        <v>2674</v>
      </c>
      <c r="D164" s="2" t="s">
        <v>2675</v>
      </c>
      <c r="E164" s="1" t="s">
        <v>2456</v>
      </c>
      <c r="F164" s="1" t="s">
        <v>2285</v>
      </c>
      <c r="G164" s="1" t="str">
        <f>"11"</f>
        <v>11</v>
      </c>
      <c r="H164" s="1" t="s">
        <v>2676</v>
      </c>
      <c r="I164" s="1" t="s">
        <v>2257</v>
      </c>
      <c r="J164" s="1" t="s">
        <v>2230</v>
      </c>
      <c r="K164" s="3">
        <v>2</v>
      </c>
      <c r="L164" s="4">
        <v>79.989999999999995</v>
      </c>
      <c r="M164" s="4">
        <f t="shared" si="2"/>
        <v>159.97999999999999</v>
      </c>
    </row>
    <row r="165" spans="1:13" ht="15.75" customHeight="1">
      <c r="A165" s="1" t="s">
        <v>2677</v>
      </c>
      <c r="B165" s="1" t="str">
        <f>"889918482739"</f>
        <v>889918482739</v>
      </c>
      <c r="C165" s="1" t="s">
        <v>2678</v>
      </c>
      <c r="D165" s="2" t="s">
        <v>2675</v>
      </c>
      <c r="E165" s="1" t="s">
        <v>2456</v>
      </c>
      <c r="F165" s="1" t="s">
        <v>2285</v>
      </c>
      <c r="G165" s="1" t="str">
        <f>"5"</f>
        <v>5</v>
      </c>
      <c r="H165" s="1" t="s">
        <v>2676</v>
      </c>
      <c r="I165" s="1" t="s">
        <v>2257</v>
      </c>
      <c r="J165" s="1" t="s">
        <v>2230</v>
      </c>
      <c r="K165" s="3">
        <v>5</v>
      </c>
      <c r="L165" s="4">
        <v>79.989999999999995</v>
      </c>
      <c r="M165" s="4">
        <f t="shared" si="2"/>
        <v>399.95</v>
      </c>
    </row>
    <row r="166" spans="1:13" ht="15.75" customHeight="1">
      <c r="A166" s="1" t="s">
        <v>2679</v>
      </c>
      <c r="B166" s="1" t="str">
        <f>"889918482746"</f>
        <v>889918482746</v>
      </c>
      <c r="C166" s="1" t="s">
        <v>2680</v>
      </c>
      <c r="D166" s="2" t="s">
        <v>2675</v>
      </c>
      <c r="E166" s="1" t="s">
        <v>2456</v>
      </c>
      <c r="F166" s="1" t="s">
        <v>2285</v>
      </c>
      <c r="G166" s="1" t="str">
        <f>"6"</f>
        <v>6</v>
      </c>
      <c r="H166" s="1" t="s">
        <v>2676</v>
      </c>
      <c r="I166" s="1" t="s">
        <v>2257</v>
      </c>
      <c r="J166" s="1" t="s">
        <v>2230</v>
      </c>
      <c r="K166" s="3">
        <v>3</v>
      </c>
      <c r="L166" s="4">
        <v>79.989999999999995</v>
      </c>
      <c r="M166" s="4">
        <f t="shared" si="2"/>
        <v>239.96999999999997</v>
      </c>
    </row>
    <row r="167" spans="1:13" ht="15.75" customHeight="1">
      <c r="A167" s="1" t="s">
        <v>2681</v>
      </c>
      <c r="B167" s="1" t="str">
        <f>"889918482753"</f>
        <v>889918482753</v>
      </c>
      <c r="C167" s="1" t="s">
        <v>2682</v>
      </c>
      <c r="D167" s="2" t="s">
        <v>2675</v>
      </c>
      <c r="E167" s="1" t="s">
        <v>2456</v>
      </c>
      <c r="F167" s="1" t="s">
        <v>2285</v>
      </c>
      <c r="G167" s="1" t="str">
        <f>"7"</f>
        <v>7</v>
      </c>
      <c r="H167" s="1" t="s">
        <v>2676</v>
      </c>
      <c r="I167" s="1" t="s">
        <v>2257</v>
      </c>
      <c r="J167" s="1" t="s">
        <v>2230</v>
      </c>
      <c r="K167" s="3">
        <v>4</v>
      </c>
      <c r="L167" s="4">
        <v>79.989999999999995</v>
      </c>
      <c r="M167" s="4">
        <f t="shared" si="2"/>
        <v>319.95999999999998</v>
      </c>
    </row>
    <row r="168" spans="1:13" ht="15.75" customHeight="1">
      <c r="A168" s="1" t="s">
        <v>2683</v>
      </c>
      <c r="B168" s="1" t="str">
        <f>"889918482760"</f>
        <v>889918482760</v>
      </c>
      <c r="C168" s="1" t="s">
        <v>2684</v>
      </c>
      <c r="D168" s="2" t="s">
        <v>2675</v>
      </c>
      <c r="E168" s="1" t="s">
        <v>2456</v>
      </c>
      <c r="F168" s="1" t="s">
        <v>2285</v>
      </c>
      <c r="G168" s="1" t="str">
        <f>"8"</f>
        <v>8</v>
      </c>
      <c r="H168" s="1" t="s">
        <v>2676</v>
      </c>
      <c r="I168" s="1" t="s">
        <v>2257</v>
      </c>
      <c r="J168" s="1" t="s">
        <v>2230</v>
      </c>
      <c r="K168" s="3">
        <v>11</v>
      </c>
      <c r="L168" s="4">
        <v>79.989999999999995</v>
      </c>
      <c r="M168" s="4">
        <f t="shared" si="2"/>
        <v>879.89</v>
      </c>
    </row>
    <row r="169" spans="1:13" ht="15.75" customHeight="1">
      <c r="A169" s="1" t="s">
        <v>2685</v>
      </c>
      <c r="B169" s="1" t="str">
        <f>"889918482777"</f>
        <v>889918482777</v>
      </c>
      <c r="C169" s="1" t="s">
        <v>2686</v>
      </c>
      <c r="D169" s="2" t="s">
        <v>2675</v>
      </c>
      <c r="E169" s="1" t="s">
        <v>2456</v>
      </c>
      <c r="F169" s="1" t="s">
        <v>2285</v>
      </c>
      <c r="G169" s="1" t="str">
        <f>"9"</f>
        <v>9</v>
      </c>
      <c r="H169" s="1" t="s">
        <v>2676</v>
      </c>
      <c r="I169" s="1" t="s">
        <v>2257</v>
      </c>
      <c r="J169" s="1" t="s">
        <v>2230</v>
      </c>
      <c r="K169" s="3">
        <v>2</v>
      </c>
      <c r="L169" s="4">
        <v>79.989999999999995</v>
      </c>
      <c r="M169" s="4">
        <f t="shared" si="2"/>
        <v>159.97999999999999</v>
      </c>
    </row>
    <row r="170" spans="1:13" ht="15.75" customHeight="1">
      <c r="A170" s="1" t="s">
        <v>2687</v>
      </c>
      <c r="B170" s="1" t="str">
        <f>"889918188006"</f>
        <v>889918188006</v>
      </c>
      <c r="C170" s="1" t="s">
        <v>2688</v>
      </c>
      <c r="D170" s="2" t="s">
        <v>2689</v>
      </c>
      <c r="E170" s="1" t="s">
        <v>2456</v>
      </c>
      <c r="F170" s="1" t="s">
        <v>2690</v>
      </c>
      <c r="G170" s="1" t="str">
        <f>"10"</f>
        <v>10</v>
      </c>
      <c r="H170" s="1" t="s">
        <v>2691</v>
      </c>
      <c r="I170" s="1" t="s">
        <v>2220</v>
      </c>
      <c r="J170" s="1" t="s">
        <v>2230</v>
      </c>
      <c r="K170" s="3">
        <v>21</v>
      </c>
      <c r="L170" s="4">
        <v>64.989999999999995</v>
      </c>
      <c r="M170" s="4">
        <f t="shared" si="2"/>
        <v>1364.79</v>
      </c>
    </row>
    <row r="171" spans="1:13" ht="15.75" customHeight="1">
      <c r="A171" s="1" t="s">
        <v>2692</v>
      </c>
      <c r="B171" s="1" t="str">
        <f>"889918188013"</f>
        <v>889918188013</v>
      </c>
      <c r="C171" s="1" t="s">
        <v>2693</v>
      </c>
      <c r="D171" s="2" t="s">
        <v>2689</v>
      </c>
      <c r="E171" s="1" t="s">
        <v>2456</v>
      </c>
      <c r="F171" s="1" t="s">
        <v>2690</v>
      </c>
      <c r="G171" s="1" t="str">
        <f>"11"</f>
        <v>11</v>
      </c>
      <c r="H171" s="1" t="s">
        <v>2691</v>
      </c>
      <c r="I171" s="1" t="s">
        <v>2220</v>
      </c>
      <c r="J171" s="1" t="s">
        <v>2230</v>
      </c>
      <c r="K171" s="3">
        <v>6</v>
      </c>
      <c r="L171" s="4">
        <v>64.989999999999995</v>
      </c>
      <c r="M171" s="4">
        <f t="shared" si="2"/>
        <v>389.93999999999994</v>
      </c>
    </row>
    <row r="172" spans="1:13" ht="15.75" customHeight="1">
      <c r="A172" s="1" t="s">
        <v>2694</v>
      </c>
      <c r="B172" s="1" t="str">
        <f>"889918188020"</f>
        <v>889918188020</v>
      </c>
      <c r="C172" s="1" t="s">
        <v>2695</v>
      </c>
      <c r="D172" s="2" t="s">
        <v>2689</v>
      </c>
      <c r="E172" s="1" t="s">
        <v>2456</v>
      </c>
      <c r="F172" s="1" t="s">
        <v>2690</v>
      </c>
      <c r="G172" s="1" t="str">
        <f>"12"</f>
        <v>12</v>
      </c>
      <c r="H172" s="1" t="s">
        <v>2691</v>
      </c>
      <c r="I172" s="1" t="s">
        <v>2220</v>
      </c>
      <c r="J172" s="1" t="s">
        <v>2230</v>
      </c>
      <c r="K172" s="3">
        <v>23</v>
      </c>
      <c r="L172" s="4">
        <v>64.989999999999995</v>
      </c>
      <c r="M172" s="4">
        <f t="shared" si="2"/>
        <v>1494.77</v>
      </c>
    </row>
    <row r="173" spans="1:13" ht="15.75" customHeight="1">
      <c r="A173" s="1" t="s">
        <v>2696</v>
      </c>
      <c r="B173" s="1" t="str">
        <f>"889918188037"</f>
        <v>889918188037</v>
      </c>
      <c r="C173" s="1" t="s">
        <v>2697</v>
      </c>
      <c r="D173" s="2" t="s">
        <v>2689</v>
      </c>
      <c r="E173" s="1" t="s">
        <v>2456</v>
      </c>
      <c r="F173" s="1" t="s">
        <v>2690</v>
      </c>
      <c r="G173" s="1" t="str">
        <f>"13"</f>
        <v>13</v>
      </c>
      <c r="H173" s="1" t="s">
        <v>2691</v>
      </c>
      <c r="I173" s="1" t="s">
        <v>2220</v>
      </c>
      <c r="J173" s="1" t="s">
        <v>2230</v>
      </c>
      <c r="K173" s="3">
        <v>10</v>
      </c>
      <c r="L173" s="4">
        <v>64.989999999999995</v>
      </c>
      <c r="M173" s="4">
        <f t="shared" si="2"/>
        <v>649.9</v>
      </c>
    </row>
    <row r="174" spans="1:13" ht="15.75" customHeight="1">
      <c r="A174" s="1" t="s">
        <v>2698</v>
      </c>
      <c r="B174" s="1" t="str">
        <f>"889918187986"</f>
        <v>889918187986</v>
      </c>
      <c r="C174" s="1" t="s">
        <v>2699</v>
      </c>
      <c r="D174" s="2" t="s">
        <v>2689</v>
      </c>
      <c r="E174" s="1" t="s">
        <v>2456</v>
      </c>
      <c r="F174" s="1" t="s">
        <v>2690</v>
      </c>
      <c r="G174" s="1" t="str">
        <f>"8"</f>
        <v>8</v>
      </c>
      <c r="H174" s="1" t="s">
        <v>2691</v>
      </c>
      <c r="I174" s="1" t="s">
        <v>2220</v>
      </c>
      <c r="J174" s="1" t="s">
        <v>2230</v>
      </c>
      <c r="K174" s="3">
        <v>5</v>
      </c>
      <c r="L174" s="4">
        <v>64.989999999999995</v>
      </c>
      <c r="M174" s="4">
        <f t="shared" si="2"/>
        <v>324.95</v>
      </c>
    </row>
    <row r="175" spans="1:13" ht="15.75" customHeight="1">
      <c r="A175" s="1" t="s">
        <v>2700</v>
      </c>
      <c r="B175" s="1" t="str">
        <f>"889918187993"</f>
        <v>889918187993</v>
      </c>
      <c r="C175" s="1" t="s">
        <v>2701</v>
      </c>
      <c r="D175" s="2" t="s">
        <v>2689</v>
      </c>
      <c r="E175" s="1" t="s">
        <v>2456</v>
      </c>
      <c r="F175" s="1" t="s">
        <v>2690</v>
      </c>
      <c r="G175" s="1" t="str">
        <f>"9"</f>
        <v>9</v>
      </c>
      <c r="H175" s="1" t="s">
        <v>2691</v>
      </c>
      <c r="I175" s="1" t="s">
        <v>2220</v>
      </c>
      <c r="J175" s="1" t="s">
        <v>2230</v>
      </c>
      <c r="K175" s="3">
        <v>22</v>
      </c>
      <c r="L175" s="4">
        <v>64.989999999999995</v>
      </c>
      <c r="M175" s="4">
        <f t="shared" si="2"/>
        <v>1429.78</v>
      </c>
    </row>
    <row r="176" spans="1:13" ht="15.75" customHeight="1">
      <c r="A176" s="1" t="s">
        <v>2702</v>
      </c>
      <c r="B176" s="1" t="str">
        <f>"887759573050"</f>
        <v>887759573050</v>
      </c>
      <c r="C176" s="1" t="s">
        <v>2703</v>
      </c>
      <c r="D176" s="2" t="s">
        <v>2704</v>
      </c>
      <c r="E176" s="1" t="s">
        <v>2705</v>
      </c>
      <c r="F176" s="1" t="s">
        <v>2706</v>
      </c>
      <c r="G176" s="1" t="str">
        <f>"36"</f>
        <v>36</v>
      </c>
      <c r="H176" s="1" t="str">
        <f>"1022331"</f>
        <v>1022331</v>
      </c>
      <c r="I176" s="1" t="s">
        <v>2304</v>
      </c>
      <c r="J176" s="1" t="s">
        <v>2230</v>
      </c>
      <c r="K176" s="3">
        <v>8</v>
      </c>
      <c r="L176" s="4">
        <v>39.950000000000003</v>
      </c>
      <c r="M176" s="4">
        <f t="shared" si="2"/>
        <v>319.60000000000002</v>
      </c>
    </row>
    <row r="177" spans="1:13" ht="15.75" customHeight="1">
      <c r="A177" s="1" t="s">
        <v>2707</v>
      </c>
      <c r="B177" s="1" t="str">
        <f>"887759573081"</f>
        <v>887759573081</v>
      </c>
      <c r="C177" s="1" t="s">
        <v>2708</v>
      </c>
      <c r="D177" s="2" t="s">
        <v>2704</v>
      </c>
      <c r="E177" s="1" t="s">
        <v>2705</v>
      </c>
      <c r="F177" s="1" t="s">
        <v>2706</v>
      </c>
      <c r="G177" s="1" t="str">
        <f>"37"</f>
        <v>37</v>
      </c>
      <c r="H177" s="1" t="str">
        <f>"1022331"</f>
        <v>1022331</v>
      </c>
      <c r="I177" s="1" t="s">
        <v>2304</v>
      </c>
      <c r="J177" s="1" t="s">
        <v>2230</v>
      </c>
      <c r="K177" s="3">
        <v>16</v>
      </c>
      <c r="L177" s="4">
        <v>39.950000000000003</v>
      </c>
      <c r="M177" s="4">
        <f t="shared" si="2"/>
        <v>639.20000000000005</v>
      </c>
    </row>
    <row r="178" spans="1:13" ht="15.75" customHeight="1">
      <c r="A178" s="1" t="s">
        <v>2709</v>
      </c>
      <c r="B178" s="1" t="str">
        <f>"887759575320"</f>
        <v>887759575320</v>
      </c>
      <c r="C178" s="1" t="s">
        <v>2710</v>
      </c>
      <c r="D178" s="2" t="s">
        <v>2704</v>
      </c>
      <c r="E178" s="1" t="s">
        <v>2705</v>
      </c>
      <c r="F178" s="1" t="s">
        <v>2706</v>
      </c>
      <c r="G178" s="1" t="str">
        <f>"45"</f>
        <v>45</v>
      </c>
      <c r="H178" s="1" t="str">
        <f>"1022331"</f>
        <v>1022331</v>
      </c>
      <c r="I178" s="1" t="s">
        <v>2304</v>
      </c>
      <c r="J178" s="1" t="s">
        <v>2230</v>
      </c>
      <c r="K178" s="3">
        <v>1</v>
      </c>
      <c r="L178" s="4">
        <v>39.950000000000003</v>
      </c>
      <c r="M178" s="4">
        <f t="shared" si="2"/>
        <v>39.950000000000003</v>
      </c>
    </row>
    <row r="179" spans="1:13" ht="15.75" customHeight="1">
      <c r="A179" s="1" t="s">
        <v>2711</v>
      </c>
      <c r="B179" s="1" t="str">
        <f>"887759928430"</f>
        <v>887759928430</v>
      </c>
      <c r="C179" s="1" t="s">
        <v>2712</v>
      </c>
      <c r="D179" s="2" t="s">
        <v>2713</v>
      </c>
      <c r="E179" s="1" t="s">
        <v>2705</v>
      </c>
      <c r="F179" s="1" t="s">
        <v>2714</v>
      </c>
      <c r="G179" s="1" t="str">
        <f>"41"</f>
        <v>41</v>
      </c>
      <c r="H179" s="1" t="str">
        <f>"1023584"</f>
        <v>1023584</v>
      </c>
      <c r="I179" s="1" t="s">
        <v>2304</v>
      </c>
      <c r="J179" s="1" t="s">
        <v>2230</v>
      </c>
      <c r="K179" s="3">
        <v>13</v>
      </c>
      <c r="L179" s="4">
        <v>115</v>
      </c>
      <c r="M179" s="4">
        <f t="shared" si="2"/>
        <v>1495</v>
      </c>
    </row>
    <row r="180" spans="1:13" ht="15.75" customHeight="1">
      <c r="A180" s="1" t="s">
        <v>2715</v>
      </c>
      <c r="B180" s="1" t="str">
        <f>"887759928461"</f>
        <v>887759928461</v>
      </c>
      <c r="C180" s="1" t="s">
        <v>2716</v>
      </c>
      <c r="D180" s="2" t="s">
        <v>2713</v>
      </c>
      <c r="E180" s="1" t="s">
        <v>2705</v>
      </c>
      <c r="F180" s="1" t="s">
        <v>2714</v>
      </c>
      <c r="G180" s="1" t="str">
        <f>"42"</f>
        <v>42</v>
      </c>
      <c r="H180" s="1" t="str">
        <f>"1023584"</f>
        <v>1023584</v>
      </c>
      <c r="I180" s="1" t="s">
        <v>2304</v>
      </c>
      <c r="J180" s="1" t="s">
        <v>2230</v>
      </c>
      <c r="K180" s="3">
        <v>10</v>
      </c>
      <c r="L180" s="4">
        <v>115</v>
      </c>
      <c r="M180" s="4">
        <f t="shared" si="2"/>
        <v>1150</v>
      </c>
    </row>
    <row r="181" spans="1:13" ht="15.75" customHeight="1">
      <c r="A181" s="1" t="s">
        <v>2717</v>
      </c>
      <c r="B181" s="1" t="str">
        <f>"887759928522"</f>
        <v>887759928522</v>
      </c>
      <c r="C181" s="1" t="s">
        <v>2718</v>
      </c>
      <c r="D181" s="2" t="s">
        <v>2713</v>
      </c>
      <c r="E181" s="1" t="s">
        <v>2705</v>
      </c>
      <c r="F181" s="1" t="s">
        <v>2714</v>
      </c>
      <c r="G181" s="1" t="str">
        <f>"44"</f>
        <v>44</v>
      </c>
      <c r="H181" s="1" t="str">
        <f>"1023584"</f>
        <v>1023584</v>
      </c>
      <c r="I181" s="1" t="s">
        <v>2304</v>
      </c>
      <c r="J181" s="1" t="s">
        <v>2230</v>
      </c>
      <c r="K181" s="3">
        <v>4</v>
      </c>
      <c r="L181" s="4">
        <v>115</v>
      </c>
      <c r="M181" s="4">
        <f t="shared" si="2"/>
        <v>460</v>
      </c>
    </row>
    <row r="182" spans="1:13" ht="15.75" customHeight="1">
      <c r="A182" s="1" t="s">
        <v>2719</v>
      </c>
      <c r="B182" s="1" t="str">
        <f>"887759719304"</f>
        <v>887759719304</v>
      </c>
      <c r="C182" s="1" t="s">
        <v>2720</v>
      </c>
      <c r="D182" s="2" t="s">
        <v>2721</v>
      </c>
      <c r="E182" s="1" t="s">
        <v>2705</v>
      </c>
      <c r="F182" s="1" t="s">
        <v>2722</v>
      </c>
      <c r="G182" s="1" t="str">
        <f>"38"</f>
        <v>38</v>
      </c>
      <c r="H182" s="1" t="str">
        <f>"1022850"</f>
        <v>1022850</v>
      </c>
      <c r="I182" s="1" t="s">
        <v>2304</v>
      </c>
      <c r="J182" s="1" t="s">
        <v>2230</v>
      </c>
      <c r="K182" s="3">
        <v>1</v>
      </c>
      <c r="L182" s="4">
        <v>120</v>
      </c>
      <c r="M182" s="4">
        <f t="shared" si="2"/>
        <v>120</v>
      </c>
    </row>
    <row r="183" spans="1:13" ht="15.75" customHeight="1">
      <c r="A183" s="1" t="s">
        <v>2723</v>
      </c>
      <c r="B183" s="1" t="str">
        <f>"802436887206"</f>
        <v>802436887206</v>
      </c>
      <c r="C183" s="1" t="s">
        <v>2724</v>
      </c>
      <c r="D183" s="2" t="s">
        <v>2725</v>
      </c>
      <c r="E183" s="1" t="s">
        <v>2705</v>
      </c>
      <c r="F183" s="1" t="s">
        <v>2726</v>
      </c>
      <c r="G183" s="1" t="str">
        <f>"38"</f>
        <v>38</v>
      </c>
      <c r="H183" s="1" t="str">
        <f>"1015874"</f>
        <v>1015874</v>
      </c>
      <c r="I183" s="1" t="s">
        <v>2257</v>
      </c>
      <c r="J183" s="1" t="s">
        <v>2230</v>
      </c>
      <c r="K183" s="3">
        <v>1</v>
      </c>
      <c r="L183" s="4">
        <v>120</v>
      </c>
      <c r="M183" s="4">
        <f t="shared" si="2"/>
        <v>120</v>
      </c>
    </row>
    <row r="184" spans="1:13" ht="15.75" customHeight="1">
      <c r="A184" s="1" t="s">
        <v>2727</v>
      </c>
      <c r="B184" s="1" t="str">
        <f>"887759907282"</f>
        <v>887759907282</v>
      </c>
      <c r="C184" s="1" t="s">
        <v>2728</v>
      </c>
      <c r="D184" s="2" t="s">
        <v>2729</v>
      </c>
      <c r="E184" s="1" t="s">
        <v>2705</v>
      </c>
      <c r="F184" s="1" t="s">
        <v>2730</v>
      </c>
      <c r="G184" s="1" t="str">
        <f>"39"</f>
        <v>39</v>
      </c>
      <c r="H184" s="1" t="str">
        <f>"1023499"</f>
        <v>1023499</v>
      </c>
      <c r="I184" s="1" t="s">
        <v>2257</v>
      </c>
      <c r="J184" s="1" t="s">
        <v>2230</v>
      </c>
      <c r="K184" s="3">
        <v>1</v>
      </c>
      <c r="L184" s="4">
        <v>120</v>
      </c>
      <c r="M184" s="4">
        <f t="shared" si="2"/>
        <v>120</v>
      </c>
    </row>
    <row r="185" spans="1:13" ht="15.75" customHeight="1">
      <c r="A185" s="1" t="s">
        <v>2731</v>
      </c>
      <c r="B185" s="1" t="str">
        <f>"822698501931"</f>
        <v>822698501931</v>
      </c>
      <c r="C185" s="1" t="s">
        <v>2732</v>
      </c>
      <c r="D185" s="2" t="s">
        <v>2733</v>
      </c>
      <c r="E185" s="1" t="s">
        <v>2705</v>
      </c>
      <c r="F185" s="1" t="s">
        <v>2734</v>
      </c>
      <c r="G185" s="1" t="str">
        <f>"40"</f>
        <v>40</v>
      </c>
      <c r="H185" s="1" t="str">
        <f>"1018137"</f>
        <v>1018137</v>
      </c>
      <c r="I185" s="1" t="s">
        <v>2257</v>
      </c>
      <c r="J185" s="1" t="s">
        <v>2230</v>
      </c>
      <c r="K185" s="3">
        <v>1</v>
      </c>
      <c r="L185" s="4">
        <v>120</v>
      </c>
      <c r="M185" s="4">
        <f t="shared" si="2"/>
        <v>120</v>
      </c>
    </row>
    <row r="186" spans="1:13" ht="15.75" customHeight="1">
      <c r="A186" s="1" t="s">
        <v>2735</v>
      </c>
      <c r="B186" s="1" t="str">
        <f>"822698501962"</f>
        <v>822698501962</v>
      </c>
      <c r="C186" s="1" t="s">
        <v>2736</v>
      </c>
      <c r="D186" s="2" t="s">
        <v>2733</v>
      </c>
      <c r="E186" s="1" t="s">
        <v>2705</v>
      </c>
      <c r="F186" s="1" t="s">
        <v>2734</v>
      </c>
      <c r="G186" s="1" t="str">
        <f>"41"</f>
        <v>41</v>
      </c>
      <c r="H186" s="1" t="str">
        <f>"1018137"</f>
        <v>1018137</v>
      </c>
      <c r="I186" s="1" t="s">
        <v>2257</v>
      </c>
      <c r="J186" s="1" t="s">
        <v>2230</v>
      </c>
      <c r="K186" s="3">
        <v>2</v>
      </c>
      <c r="L186" s="4">
        <v>120</v>
      </c>
      <c r="M186" s="4">
        <f t="shared" si="2"/>
        <v>240</v>
      </c>
    </row>
    <row r="187" spans="1:13" ht="15.75" customHeight="1">
      <c r="A187" s="1" t="s">
        <v>2737</v>
      </c>
      <c r="B187" s="1" t="str">
        <f>"822698502389"</f>
        <v>822698502389</v>
      </c>
      <c r="C187" s="1" t="s">
        <v>2738</v>
      </c>
      <c r="D187" s="2" t="s">
        <v>2733</v>
      </c>
      <c r="E187" s="1" t="s">
        <v>2705</v>
      </c>
      <c r="F187" s="1" t="s">
        <v>2739</v>
      </c>
      <c r="G187" s="1" t="str">
        <f>"37"</f>
        <v>37</v>
      </c>
      <c r="H187" s="1" t="str">
        <f>"1018139"</f>
        <v>1018139</v>
      </c>
      <c r="I187" s="1" t="s">
        <v>2257</v>
      </c>
      <c r="J187" s="1" t="s">
        <v>2230</v>
      </c>
      <c r="K187" s="3">
        <v>2</v>
      </c>
      <c r="L187" s="4">
        <v>120</v>
      </c>
      <c r="M187" s="4">
        <f t="shared" si="2"/>
        <v>240</v>
      </c>
    </row>
    <row r="188" spans="1:13" ht="15.75" customHeight="1">
      <c r="A188" s="1" t="s">
        <v>2740</v>
      </c>
      <c r="B188" s="1" t="str">
        <f>"822698502440"</f>
        <v>822698502440</v>
      </c>
      <c r="C188" s="1" t="s">
        <v>2741</v>
      </c>
      <c r="D188" s="2" t="s">
        <v>2733</v>
      </c>
      <c r="E188" s="1" t="s">
        <v>2705</v>
      </c>
      <c r="F188" s="1" t="s">
        <v>2739</v>
      </c>
      <c r="G188" s="1" t="str">
        <f>"39"</f>
        <v>39</v>
      </c>
      <c r="H188" s="1" t="str">
        <f>"1018139"</f>
        <v>1018139</v>
      </c>
      <c r="I188" s="1" t="s">
        <v>2257</v>
      </c>
      <c r="J188" s="1" t="s">
        <v>2230</v>
      </c>
      <c r="K188" s="3">
        <v>5</v>
      </c>
      <c r="L188" s="4">
        <v>120</v>
      </c>
      <c r="M188" s="4">
        <f t="shared" si="2"/>
        <v>600</v>
      </c>
    </row>
    <row r="189" spans="1:13" ht="15.75" customHeight="1">
      <c r="A189" s="1" t="s">
        <v>2742</v>
      </c>
      <c r="B189" s="1" t="str">
        <f>"822698197110"</f>
        <v>822698197110</v>
      </c>
      <c r="C189" s="1" t="s">
        <v>2743</v>
      </c>
      <c r="D189" s="2" t="s">
        <v>2744</v>
      </c>
      <c r="E189" s="1" t="s">
        <v>2705</v>
      </c>
      <c r="F189" s="1" t="s">
        <v>2745</v>
      </c>
      <c r="G189" s="1" t="str">
        <f>"38"</f>
        <v>38</v>
      </c>
      <c r="H189" s="1" t="str">
        <f>"1017032"</f>
        <v>1017032</v>
      </c>
      <c r="I189" s="1" t="s">
        <v>2304</v>
      </c>
      <c r="J189" s="1" t="s">
        <v>2230</v>
      </c>
      <c r="K189" s="3">
        <v>5</v>
      </c>
      <c r="L189" s="4">
        <v>130</v>
      </c>
      <c r="M189" s="4">
        <f t="shared" si="2"/>
        <v>650</v>
      </c>
    </row>
    <row r="190" spans="1:13" ht="15.75" customHeight="1">
      <c r="A190" s="1" t="s">
        <v>2746</v>
      </c>
      <c r="B190" s="1" t="str">
        <f>"822698197141"</f>
        <v>822698197141</v>
      </c>
      <c r="C190" s="1" t="s">
        <v>2747</v>
      </c>
      <c r="D190" s="2" t="s">
        <v>2744</v>
      </c>
      <c r="E190" s="1" t="s">
        <v>2705</v>
      </c>
      <c r="F190" s="1" t="s">
        <v>2745</v>
      </c>
      <c r="G190" s="1" t="str">
        <f>"39"</f>
        <v>39</v>
      </c>
      <c r="H190" s="1" t="str">
        <f>"1017032"</f>
        <v>1017032</v>
      </c>
      <c r="I190" s="1" t="s">
        <v>2304</v>
      </c>
      <c r="J190" s="1" t="s">
        <v>2230</v>
      </c>
      <c r="K190" s="3">
        <v>2</v>
      </c>
      <c r="L190" s="4">
        <v>130</v>
      </c>
      <c r="M190" s="4">
        <f t="shared" si="2"/>
        <v>260</v>
      </c>
    </row>
    <row r="191" spans="1:13" ht="15.75" customHeight="1">
      <c r="A191" s="1" t="s">
        <v>2748</v>
      </c>
      <c r="B191" s="1" t="str">
        <f>"822698197202"</f>
        <v>822698197202</v>
      </c>
      <c r="C191" s="1" t="s">
        <v>2749</v>
      </c>
      <c r="D191" s="2" t="s">
        <v>2744</v>
      </c>
      <c r="E191" s="1" t="s">
        <v>2705</v>
      </c>
      <c r="F191" s="1" t="s">
        <v>2745</v>
      </c>
      <c r="G191" s="1" t="str">
        <f>"41"</f>
        <v>41</v>
      </c>
      <c r="H191" s="1" t="str">
        <f>"1017032"</f>
        <v>1017032</v>
      </c>
      <c r="I191" s="1" t="s">
        <v>2304</v>
      </c>
      <c r="J191" s="1" t="s">
        <v>2230</v>
      </c>
      <c r="K191" s="3">
        <v>1</v>
      </c>
      <c r="L191" s="4">
        <v>130</v>
      </c>
      <c r="M191" s="4">
        <f t="shared" si="2"/>
        <v>130</v>
      </c>
    </row>
    <row r="192" spans="1:13" ht="15.75" customHeight="1">
      <c r="A192" s="1" t="s">
        <v>2750</v>
      </c>
      <c r="B192" s="1" t="str">
        <f>"822698196571"</f>
        <v>822698196571</v>
      </c>
      <c r="C192" s="1" t="s">
        <v>2751</v>
      </c>
      <c r="D192" s="2" t="s">
        <v>2752</v>
      </c>
      <c r="E192" s="1" t="s">
        <v>2705</v>
      </c>
      <c r="F192" s="1" t="s">
        <v>2641</v>
      </c>
      <c r="G192" s="1" t="str">
        <f>"38"</f>
        <v>38</v>
      </c>
      <c r="H192" s="1" t="str">
        <f>"1017030"</f>
        <v>1017030</v>
      </c>
      <c r="I192" s="1" t="s">
        <v>2304</v>
      </c>
      <c r="J192" s="1" t="s">
        <v>2230</v>
      </c>
      <c r="K192" s="3">
        <v>2</v>
      </c>
      <c r="L192" s="4">
        <v>130</v>
      </c>
      <c r="M192" s="4">
        <f t="shared" si="2"/>
        <v>260</v>
      </c>
    </row>
    <row r="193" spans="1:13" ht="15.75" customHeight="1">
      <c r="A193" s="1" t="s">
        <v>2753</v>
      </c>
      <c r="B193" s="1" t="str">
        <f>"822698196694"</f>
        <v>822698196694</v>
      </c>
      <c r="C193" s="1" t="s">
        <v>2754</v>
      </c>
      <c r="D193" s="2" t="s">
        <v>2752</v>
      </c>
      <c r="E193" s="1" t="s">
        <v>2705</v>
      </c>
      <c r="F193" s="1" t="s">
        <v>2641</v>
      </c>
      <c r="G193" s="1" t="str">
        <f>"42"</f>
        <v>42</v>
      </c>
      <c r="H193" s="1" t="str">
        <f>"1017030"</f>
        <v>1017030</v>
      </c>
      <c r="I193" s="1" t="s">
        <v>2304</v>
      </c>
      <c r="J193" s="1" t="s">
        <v>2230</v>
      </c>
      <c r="K193" s="3">
        <v>1</v>
      </c>
      <c r="L193" s="4">
        <v>130</v>
      </c>
      <c r="M193" s="4">
        <f t="shared" si="2"/>
        <v>130</v>
      </c>
    </row>
    <row r="194" spans="1:13" ht="15.75" customHeight="1">
      <c r="A194" s="1" t="s">
        <v>2755</v>
      </c>
      <c r="B194" s="1" t="str">
        <f>"822698907955"</f>
        <v>822698907955</v>
      </c>
      <c r="C194" s="1" t="s">
        <v>2756</v>
      </c>
      <c r="D194" s="2" t="s">
        <v>2757</v>
      </c>
      <c r="E194" s="1" t="s">
        <v>2705</v>
      </c>
      <c r="F194" s="1" t="s">
        <v>2758</v>
      </c>
      <c r="G194" s="1" t="str">
        <f>"42"</f>
        <v>42</v>
      </c>
      <c r="H194" s="1" t="str">
        <f>"1019756"</f>
        <v>1019756</v>
      </c>
      <c r="I194" s="1" t="s">
        <v>2304</v>
      </c>
      <c r="J194" s="1" t="s">
        <v>2230</v>
      </c>
      <c r="K194" s="3">
        <v>1</v>
      </c>
      <c r="L194" s="4">
        <v>150</v>
      </c>
      <c r="M194" s="4">
        <f t="shared" ref="M194:M257" si="3">L194*K194</f>
        <v>150</v>
      </c>
    </row>
    <row r="195" spans="1:13" ht="15.75" customHeight="1">
      <c r="A195" s="1" t="s">
        <v>2759</v>
      </c>
      <c r="B195" s="1" t="str">
        <f>"822698315774"</f>
        <v>822698315774</v>
      </c>
      <c r="C195" s="1" t="s">
        <v>2760</v>
      </c>
      <c r="D195" s="2" t="s">
        <v>2761</v>
      </c>
      <c r="E195" s="1" t="s">
        <v>2705</v>
      </c>
      <c r="F195" s="1" t="s">
        <v>2762</v>
      </c>
      <c r="G195" s="1" t="str">
        <f>"46"</f>
        <v>46</v>
      </c>
      <c r="H195" s="1" t="str">
        <f>"1017465"</f>
        <v>1017465</v>
      </c>
      <c r="I195" s="1" t="s">
        <v>2304</v>
      </c>
      <c r="J195" s="1" t="s">
        <v>2230</v>
      </c>
      <c r="K195" s="3">
        <v>1</v>
      </c>
      <c r="L195" s="4">
        <v>140</v>
      </c>
      <c r="M195" s="4">
        <f t="shared" si="3"/>
        <v>140</v>
      </c>
    </row>
    <row r="196" spans="1:13" ht="15.75" customHeight="1">
      <c r="A196" s="1" t="s">
        <v>2763</v>
      </c>
      <c r="B196" s="1" t="str">
        <f>"802436795549"</f>
        <v>802436795549</v>
      </c>
      <c r="C196" s="1" t="s">
        <v>2764</v>
      </c>
      <c r="D196" s="2" t="s">
        <v>2761</v>
      </c>
      <c r="E196" s="1" t="s">
        <v>2705</v>
      </c>
      <c r="F196" s="1" t="s">
        <v>2765</v>
      </c>
      <c r="G196" s="1" t="str">
        <f>"46"</f>
        <v>46</v>
      </c>
      <c r="H196" s="1" t="str">
        <f>"1015498"</f>
        <v>1015498</v>
      </c>
      <c r="I196" s="1" t="s">
        <v>2304</v>
      </c>
      <c r="J196" s="1" t="s">
        <v>2230</v>
      </c>
      <c r="K196" s="3">
        <v>62</v>
      </c>
      <c r="L196" s="4">
        <v>140</v>
      </c>
      <c r="M196" s="4">
        <f t="shared" si="3"/>
        <v>8680</v>
      </c>
    </row>
    <row r="197" spans="1:13" ht="15.75" customHeight="1">
      <c r="A197" s="1" t="s">
        <v>2766</v>
      </c>
      <c r="B197" s="1" t="str">
        <f>"822698810569"</f>
        <v>822698810569</v>
      </c>
      <c r="C197" s="1" t="s">
        <v>2767</v>
      </c>
      <c r="D197" s="2" t="s">
        <v>2768</v>
      </c>
      <c r="E197" s="1" t="s">
        <v>2705</v>
      </c>
      <c r="F197" s="1" t="s">
        <v>2769</v>
      </c>
      <c r="G197" s="1" t="str">
        <f>"40"</f>
        <v>40</v>
      </c>
      <c r="H197" s="1" t="str">
        <f>"1019410"</f>
        <v>1019410</v>
      </c>
      <c r="I197" s="1" t="s">
        <v>2304</v>
      </c>
      <c r="J197" s="1" t="s">
        <v>2230</v>
      </c>
      <c r="K197" s="3">
        <v>6</v>
      </c>
      <c r="L197" s="4">
        <v>130</v>
      </c>
      <c r="M197" s="4">
        <f t="shared" si="3"/>
        <v>780</v>
      </c>
    </row>
    <row r="198" spans="1:13" ht="15.75" customHeight="1">
      <c r="A198" s="1" t="s">
        <v>2770</v>
      </c>
      <c r="B198" s="1" t="str">
        <f>"887759944683"</f>
        <v>887759944683</v>
      </c>
      <c r="C198" s="1" t="s">
        <v>2771</v>
      </c>
      <c r="D198" s="2" t="s">
        <v>2772</v>
      </c>
      <c r="E198" s="1" t="s">
        <v>2705</v>
      </c>
      <c r="F198" s="1" t="s">
        <v>2773</v>
      </c>
      <c r="G198" s="1" t="str">
        <f>"40"</f>
        <v>40</v>
      </c>
      <c r="H198" s="1" t="str">
        <f>"1023666"</f>
        <v>1023666</v>
      </c>
      <c r="I198" s="1" t="s">
        <v>2304</v>
      </c>
      <c r="J198" s="1" t="s">
        <v>2230</v>
      </c>
      <c r="K198" s="3">
        <v>1</v>
      </c>
      <c r="L198" s="4">
        <v>130</v>
      </c>
      <c r="M198" s="4">
        <f t="shared" si="3"/>
        <v>130</v>
      </c>
    </row>
    <row r="199" spans="1:13" ht="15.75" customHeight="1">
      <c r="A199" s="1" t="s">
        <v>2774</v>
      </c>
      <c r="B199" s="1" t="str">
        <f>"887759944744"</f>
        <v>887759944744</v>
      </c>
      <c r="C199" s="1" t="s">
        <v>2775</v>
      </c>
      <c r="D199" s="2" t="s">
        <v>2772</v>
      </c>
      <c r="E199" s="1" t="s">
        <v>2705</v>
      </c>
      <c r="F199" s="1" t="s">
        <v>2773</v>
      </c>
      <c r="G199" s="1" t="str">
        <f>"42"</f>
        <v>42</v>
      </c>
      <c r="H199" s="1" t="str">
        <f>"1023666"</f>
        <v>1023666</v>
      </c>
      <c r="I199" s="1" t="s">
        <v>2304</v>
      </c>
      <c r="J199" s="1" t="s">
        <v>2230</v>
      </c>
      <c r="K199" s="3">
        <v>1</v>
      </c>
      <c r="L199" s="4">
        <v>130</v>
      </c>
      <c r="M199" s="4">
        <f t="shared" si="3"/>
        <v>130</v>
      </c>
    </row>
    <row r="200" spans="1:13" ht="15.75" customHeight="1">
      <c r="A200" s="1" t="s">
        <v>2776</v>
      </c>
      <c r="B200" s="1" t="str">
        <f>"822698177211"</f>
        <v>822698177211</v>
      </c>
      <c r="C200" s="1" t="s">
        <v>2777</v>
      </c>
      <c r="D200" s="2" t="s">
        <v>2778</v>
      </c>
      <c r="E200" s="1" t="s">
        <v>2705</v>
      </c>
      <c r="F200" s="1" t="s">
        <v>2779</v>
      </c>
      <c r="G200" s="1" t="str">
        <f>"37"</f>
        <v>37</v>
      </c>
      <c r="H200" s="1" t="str">
        <f>"1016954"</f>
        <v>1016954</v>
      </c>
      <c r="I200" s="1" t="s">
        <v>2304</v>
      </c>
      <c r="J200" s="1" t="s">
        <v>2230</v>
      </c>
      <c r="K200" s="3">
        <v>1</v>
      </c>
      <c r="L200" s="4">
        <v>130</v>
      </c>
      <c r="M200" s="4">
        <f t="shared" si="3"/>
        <v>130</v>
      </c>
    </row>
    <row r="201" spans="1:13" ht="15.75" customHeight="1">
      <c r="A201" s="1" t="s">
        <v>2780</v>
      </c>
      <c r="B201" s="1" t="str">
        <f>"734698157714"</f>
        <v>734698157714</v>
      </c>
      <c r="C201" s="1" t="s">
        <v>2781</v>
      </c>
      <c r="D201" s="2" t="s">
        <v>2782</v>
      </c>
      <c r="E201" s="1" t="s">
        <v>2783</v>
      </c>
      <c r="F201" s="1" t="s">
        <v>2210</v>
      </c>
      <c r="G201" s="1" t="s">
        <v>2211</v>
      </c>
      <c r="H201" s="1" t="s">
        <v>2784</v>
      </c>
      <c r="I201" s="1" t="s">
        <v>2257</v>
      </c>
      <c r="J201" s="1" t="s">
        <v>2221</v>
      </c>
      <c r="K201" s="3">
        <v>27</v>
      </c>
      <c r="L201" s="4">
        <v>38</v>
      </c>
      <c r="M201" s="4">
        <f t="shared" si="3"/>
        <v>1026</v>
      </c>
    </row>
    <row r="202" spans="1:13" ht="15.75" customHeight="1">
      <c r="A202" s="1" t="s">
        <v>2785</v>
      </c>
      <c r="B202" s="1" t="str">
        <f>"734698157707"</f>
        <v>734698157707</v>
      </c>
      <c r="C202" s="1" t="s">
        <v>2786</v>
      </c>
      <c r="D202" s="2" t="s">
        <v>2782</v>
      </c>
      <c r="E202" s="1" t="s">
        <v>2783</v>
      </c>
      <c r="F202" s="1" t="s">
        <v>2210</v>
      </c>
      <c r="G202" s="1" t="s">
        <v>2411</v>
      </c>
      <c r="H202" s="1" t="s">
        <v>2784</v>
      </c>
      <c r="I202" s="1" t="s">
        <v>2257</v>
      </c>
      <c r="J202" s="1" t="s">
        <v>2221</v>
      </c>
      <c r="K202" s="3">
        <v>26</v>
      </c>
      <c r="L202" s="4">
        <v>38</v>
      </c>
      <c r="M202" s="4">
        <f t="shared" si="3"/>
        <v>988</v>
      </c>
    </row>
    <row r="203" spans="1:13" ht="15.75" customHeight="1">
      <c r="A203" s="1" t="s">
        <v>2787</v>
      </c>
      <c r="B203" s="1" t="str">
        <f>"734698157721"</f>
        <v>734698157721</v>
      </c>
      <c r="C203" s="1" t="s">
        <v>2788</v>
      </c>
      <c r="D203" s="2" t="s">
        <v>2782</v>
      </c>
      <c r="E203" s="1" t="s">
        <v>2783</v>
      </c>
      <c r="F203" s="1" t="s">
        <v>2210</v>
      </c>
      <c r="G203" s="1" t="s">
        <v>2418</v>
      </c>
      <c r="H203" s="1" t="s">
        <v>2784</v>
      </c>
      <c r="I203" s="1" t="s">
        <v>2257</v>
      </c>
      <c r="J203" s="1" t="s">
        <v>2221</v>
      </c>
      <c r="K203" s="3">
        <v>2</v>
      </c>
      <c r="L203" s="4">
        <v>38</v>
      </c>
      <c r="M203" s="4">
        <f t="shared" si="3"/>
        <v>76</v>
      </c>
    </row>
    <row r="204" spans="1:13" ht="15.75" customHeight="1">
      <c r="A204" s="1" t="s">
        <v>2789</v>
      </c>
      <c r="B204" s="1" t="str">
        <f>"734698149788"</f>
        <v>734698149788</v>
      </c>
      <c r="C204" s="1" t="s">
        <v>2790</v>
      </c>
      <c r="D204" s="2" t="s">
        <v>2791</v>
      </c>
      <c r="E204" s="1" t="s">
        <v>2783</v>
      </c>
      <c r="F204" s="1" t="s">
        <v>2210</v>
      </c>
      <c r="G204" s="1" t="s">
        <v>2211</v>
      </c>
      <c r="H204" s="1" t="s">
        <v>2792</v>
      </c>
      <c r="I204" s="1" t="s">
        <v>2257</v>
      </c>
      <c r="J204" s="1" t="s">
        <v>2793</v>
      </c>
      <c r="K204" s="3">
        <v>28</v>
      </c>
      <c r="L204" s="4">
        <v>68</v>
      </c>
      <c r="M204" s="4">
        <f t="shared" si="3"/>
        <v>1904</v>
      </c>
    </row>
    <row r="205" spans="1:13" ht="15.75" customHeight="1">
      <c r="A205" s="1" t="s">
        <v>2794</v>
      </c>
      <c r="B205" s="1" t="str">
        <f>"734698149771"</f>
        <v>734698149771</v>
      </c>
      <c r="C205" s="1" t="s">
        <v>2795</v>
      </c>
      <c r="D205" s="2" t="s">
        <v>2791</v>
      </c>
      <c r="E205" s="1" t="s">
        <v>2783</v>
      </c>
      <c r="F205" s="1" t="s">
        <v>2210</v>
      </c>
      <c r="G205" s="1" t="s">
        <v>2411</v>
      </c>
      <c r="H205" s="1" t="s">
        <v>2792</v>
      </c>
      <c r="I205" s="1" t="s">
        <v>2257</v>
      </c>
      <c r="J205" s="1" t="s">
        <v>2793</v>
      </c>
      <c r="K205" s="3">
        <v>19</v>
      </c>
      <c r="L205" s="4">
        <v>68</v>
      </c>
      <c r="M205" s="4">
        <f t="shared" si="3"/>
        <v>1292</v>
      </c>
    </row>
    <row r="206" spans="1:13" ht="15.75" customHeight="1">
      <c r="A206" s="1" t="s">
        <v>2796</v>
      </c>
      <c r="B206" s="1" t="str">
        <f>"734698149764"</f>
        <v>734698149764</v>
      </c>
      <c r="C206" s="1" t="s">
        <v>2797</v>
      </c>
      <c r="D206" s="2" t="s">
        <v>2791</v>
      </c>
      <c r="E206" s="1" t="s">
        <v>2783</v>
      </c>
      <c r="F206" s="1" t="s">
        <v>2210</v>
      </c>
      <c r="G206" s="1" t="s">
        <v>2219</v>
      </c>
      <c r="H206" s="1" t="s">
        <v>2792</v>
      </c>
      <c r="I206" s="1" t="s">
        <v>2257</v>
      </c>
      <c r="J206" s="1" t="s">
        <v>2793</v>
      </c>
      <c r="K206" s="3">
        <v>4</v>
      </c>
      <c r="L206" s="4">
        <v>68</v>
      </c>
      <c r="M206" s="4">
        <f t="shared" si="3"/>
        <v>272</v>
      </c>
    </row>
    <row r="207" spans="1:13" ht="15.75" customHeight="1">
      <c r="A207" s="1" t="s">
        <v>2798</v>
      </c>
      <c r="B207" s="1" t="str">
        <f>"734698149627"</f>
        <v>734698149627</v>
      </c>
      <c r="C207" s="1" t="s">
        <v>2799</v>
      </c>
      <c r="D207" s="2" t="s">
        <v>2800</v>
      </c>
      <c r="E207" s="1" t="s">
        <v>2783</v>
      </c>
      <c r="F207" s="1" t="s">
        <v>2801</v>
      </c>
      <c r="G207" s="1" t="s">
        <v>2211</v>
      </c>
      <c r="H207" s="1" t="s">
        <v>2802</v>
      </c>
      <c r="I207" s="1" t="s">
        <v>2257</v>
      </c>
      <c r="J207" s="1" t="s">
        <v>2793</v>
      </c>
      <c r="K207" s="3">
        <v>1</v>
      </c>
      <c r="L207" s="4">
        <v>68</v>
      </c>
      <c r="M207" s="4">
        <f t="shared" si="3"/>
        <v>68</v>
      </c>
    </row>
    <row r="208" spans="1:13" ht="15.75" customHeight="1">
      <c r="A208" s="1" t="s">
        <v>2803</v>
      </c>
      <c r="B208" s="1" t="str">
        <f>"734698149702"</f>
        <v>734698149702</v>
      </c>
      <c r="C208" s="1" t="s">
        <v>2804</v>
      </c>
      <c r="D208" s="2" t="s">
        <v>2805</v>
      </c>
      <c r="E208" s="1" t="s">
        <v>2783</v>
      </c>
      <c r="F208" s="1" t="s">
        <v>2806</v>
      </c>
      <c r="G208" s="1" t="s">
        <v>2211</v>
      </c>
      <c r="H208" s="1" t="s">
        <v>2807</v>
      </c>
      <c r="I208" s="1" t="s">
        <v>2257</v>
      </c>
      <c r="J208" s="1" t="s">
        <v>2793</v>
      </c>
      <c r="K208" s="3">
        <v>9</v>
      </c>
      <c r="L208" s="4">
        <v>68</v>
      </c>
      <c r="M208" s="4">
        <f t="shared" si="3"/>
        <v>612</v>
      </c>
    </row>
    <row r="209" spans="1:13" ht="15.75" customHeight="1">
      <c r="A209" s="1" t="s">
        <v>2808</v>
      </c>
      <c r="B209" s="1" t="str">
        <f>"734698149696"</f>
        <v>734698149696</v>
      </c>
      <c r="C209" s="1" t="s">
        <v>2809</v>
      </c>
      <c r="D209" s="2" t="s">
        <v>2805</v>
      </c>
      <c r="E209" s="1" t="s">
        <v>2783</v>
      </c>
      <c r="F209" s="1" t="s">
        <v>2806</v>
      </c>
      <c r="G209" s="1" t="s">
        <v>2411</v>
      </c>
      <c r="H209" s="1" t="s">
        <v>2807</v>
      </c>
      <c r="I209" s="1" t="s">
        <v>2257</v>
      </c>
      <c r="J209" s="1" t="s">
        <v>2793</v>
      </c>
      <c r="K209" s="3">
        <v>13</v>
      </c>
      <c r="L209" s="4">
        <v>68</v>
      </c>
      <c r="M209" s="4">
        <f t="shared" si="3"/>
        <v>884</v>
      </c>
    </row>
    <row r="210" spans="1:13" ht="15.75" customHeight="1">
      <c r="A210" s="1" t="s">
        <v>2810</v>
      </c>
      <c r="B210" s="1" t="str">
        <f>"734698157783"</f>
        <v>734698157783</v>
      </c>
      <c r="C210" s="1" t="s">
        <v>2811</v>
      </c>
      <c r="D210" s="2" t="s">
        <v>2812</v>
      </c>
      <c r="E210" s="1" t="s">
        <v>2783</v>
      </c>
      <c r="F210" s="1" t="s">
        <v>2813</v>
      </c>
      <c r="G210" s="1" t="s">
        <v>2411</v>
      </c>
      <c r="H210" s="1" t="s">
        <v>2814</v>
      </c>
      <c r="I210" s="1" t="s">
        <v>2257</v>
      </c>
      <c r="J210" s="1" t="s">
        <v>2815</v>
      </c>
      <c r="K210" s="3">
        <v>3</v>
      </c>
      <c r="L210" s="4">
        <v>68</v>
      </c>
      <c r="M210" s="4">
        <f t="shared" si="3"/>
        <v>204</v>
      </c>
    </row>
    <row r="211" spans="1:13" ht="15.75" customHeight="1">
      <c r="A211" s="1" t="s">
        <v>2816</v>
      </c>
      <c r="B211" s="1" t="str">
        <f>"198524031461"</f>
        <v>198524031461</v>
      </c>
      <c r="C211" s="1" t="s">
        <v>2817</v>
      </c>
      <c r="D211" s="2" t="s">
        <v>2818</v>
      </c>
      <c r="E211" s="1" t="s">
        <v>2819</v>
      </c>
      <c r="F211" s="1" t="s">
        <v>2272</v>
      </c>
      <c r="G211" s="1" t="s">
        <v>2211</v>
      </c>
      <c r="H211" s="1" t="s">
        <v>2820</v>
      </c>
      <c r="I211" s="1" t="s">
        <v>2220</v>
      </c>
      <c r="J211" s="1" t="s">
        <v>2235</v>
      </c>
      <c r="K211" s="3">
        <v>17</v>
      </c>
      <c r="L211" s="4">
        <v>60</v>
      </c>
      <c r="M211" s="4">
        <f t="shared" si="3"/>
        <v>1020</v>
      </c>
    </row>
    <row r="212" spans="1:13" ht="15.75" customHeight="1">
      <c r="A212" s="1" t="s">
        <v>2821</v>
      </c>
      <c r="B212" s="1" t="str">
        <f>"198524031478"</f>
        <v>198524031478</v>
      </c>
      <c r="C212" s="1" t="s">
        <v>2822</v>
      </c>
      <c r="D212" s="2" t="s">
        <v>2818</v>
      </c>
      <c r="E212" s="1" t="s">
        <v>2819</v>
      </c>
      <c r="F212" s="1" t="s">
        <v>2272</v>
      </c>
      <c r="G212" s="1" t="s">
        <v>2418</v>
      </c>
      <c r="H212" s="1" t="s">
        <v>2820</v>
      </c>
      <c r="I212" s="1" t="s">
        <v>2220</v>
      </c>
      <c r="J212" s="1" t="s">
        <v>2235</v>
      </c>
      <c r="K212" s="3">
        <v>4</v>
      </c>
      <c r="L212" s="4">
        <v>60</v>
      </c>
      <c r="M212" s="4">
        <f t="shared" si="3"/>
        <v>240</v>
      </c>
    </row>
    <row r="213" spans="1:13" ht="15.75" customHeight="1">
      <c r="A213" s="1" t="s">
        <v>2823</v>
      </c>
      <c r="B213" s="1" t="str">
        <f>"198524007862"</f>
        <v>198524007862</v>
      </c>
      <c r="C213" s="1" t="s">
        <v>2824</v>
      </c>
      <c r="D213" s="2" t="s">
        <v>2825</v>
      </c>
      <c r="E213" s="1" t="s">
        <v>2819</v>
      </c>
      <c r="F213" s="1" t="s">
        <v>2210</v>
      </c>
      <c r="G213" s="1" t="s">
        <v>2411</v>
      </c>
      <c r="H213" s="1" t="s">
        <v>2826</v>
      </c>
      <c r="I213" s="1" t="s">
        <v>2257</v>
      </c>
      <c r="J213" s="1" t="s">
        <v>2827</v>
      </c>
      <c r="K213" s="3">
        <v>32</v>
      </c>
      <c r="L213" s="4">
        <v>60</v>
      </c>
      <c r="M213" s="4">
        <f t="shared" si="3"/>
        <v>1920</v>
      </c>
    </row>
    <row r="214" spans="1:13" ht="15.75" customHeight="1">
      <c r="A214" s="1" t="s">
        <v>2828</v>
      </c>
      <c r="B214" s="1" t="str">
        <f>"198524007855"</f>
        <v>198524007855</v>
      </c>
      <c r="C214" s="1" t="s">
        <v>2829</v>
      </c>
      <c r="D214" s="2" t="s">
        <v>2825</v>
      </c>
      <c r="E214" s="1" t="s">
        <v>2819</v>
      </c>
      <c r="F214" s="1" t="s">
        <v>2210</v>
      </c>
      <c r="G214" s="1" t="s">
        <v>2219</v>
      </c>
      <c r="H214" s="1" t="s">
        <v>2826</v>
      </c>
      <c r="I214" s="1" t="s">
        <v>2257</v>
      </c>
      <c r="J214" s="1" t="s">
        <v>2827</v>
      </c>
      <c r="K214" s="3">
        <v>26</v>
      </c>
      <c r="L214" s="4">
        <v>60</v>
      </c>
      <c r="M214" s="4">
        <f t="shared" si="3"/>
        <v>1560</v>
      </c>
    </row>
    <row r="215" spans="1:13" ht="15.75" customHeight="1">
      <c r="A215" s="1" t="s">
        <v>2830</v>
      </c>
      <c r="B215" s="1" t="str">
        <f>"198524007824"</f>
        <v>198524007824</v>
      </c>
      <c r="C215" s="1" t="s">
        <v>2831</v>
      </c>
      <c r="D215" s="2" t="s">
        <v>2832</v>
      </c>
      <c r="E215" s="1" t="s">
        <v>2819</v>
      </c>
      <c r="F215" s="1" t="s">
        <v>2833</v>
      </c>
      <c r="G215" s="1" t="s">
        <v>2211</v>
      </c>
      <c r="H215" s="1" t="s">
        <v>2834</v>
      </c>
      <c r="I215" s="1" t="s">
        <v>2257</v>
      </c>
      <c r="J215" s="1" t="s">
        <v>2827</v>
      </c>
      <c r="K215" s="3">
        <v>77</v>
      </c>
      <c r="L215" s="4">
        <v>60</v>
      </c>
      <c r="M215" s="4">
        <f t="shared" si="3"/>
        <v>4620</v>
      </c>
    </row>
    <row r="216" spans="1:13" ht="15.75" customHeight="1">
      <c r="A216" s="1" t="s">
        <v>2835</v>
      </c>
      <c r="B216" s="1" t="str">
        <f>"198524007817"</f>
        <v>198524007817</v>
      </c>
      <c r="C216" s="1" t="s">
        <v>2836</v>
      </c>
      <c r="D216" s="2" t="s">
        <v>2832</v>
      </c>
      <c r="E216" s="1" t="s">
        <v>2819</v>
      </c>
      <c r="F216" s="1" t="s">
        <v>2833</v>
      </c>
      <c r="G216" s="1" t="s">
        <v>2411</v>
      </c>
      <c r="H216" s="1" t="s">
        <v>2834</v>
      </c>
      <c r="I216" s="1" t="s">
        <v>2257</v>
      </c>
      <c r="J216" s="1" t="s">
        <v>2827</v>
      </c>
      <c r="K216" s="3">
        <v>183</v>
      </c>
      <c r="L216" s="4">
        <v>60</v>
      </c>
      <c r="M216" s="4">
        <f t="shared" si="3"/>
        <v>10980</v>
      </c>
    </row>
    <row r="217" spans="1:13" ht="15.75" customHeight="1">
      <c r="A217" s="1" t="s">
        <v>2837</v>
      </c>
      <c r="B217" s="1" t="str">
        <f>"198524007800"</f>
        <v>198524007800</v>
      </c>
      <c r="C217" s="1" t="s">
        <v>2838</v>
      </c>
      <c r="D217" s="2" t="s">
        <v>2832</v>
      </c>
      <c r="E217" s="1" t="s">
        <v>2819</v>
      </c>
      <c r="F217" s="1" t="s">
        <v>2833</v>
      </c>
      <c r="G217" s="1" t="s">
        <v>2219</v>
      </c>
      <c r="H217" s="1" t="s">
        <v>2834</v>
      </c>
      <c r="I217" s="1" t="s">
        <v>2257</v>
      </c>
      <c r="J217" s="1" t="s">
        <v>2827</v>
      </c>
      <c r="K217" s="3">
        <v>97</v>
      </c>
      <c r="L217" s="4">
        <v>60</v>
      </c>
      <c r="M217" s="4">
        <f t="shared" si="3"/>
        <v>5820</v>
      </c>
    </row>
    <row r="218" spans="1:13" ht="15.75" customHeight="1">
      <c r="A218" s="1" t="s">
        <v>2839</v>
      </c>
      <c r="B218" s="1" t="str">
        <f>"791390787670"</f>
        <v>791390787670</v>
      </c>
      <c r="C218" s="1" t="s">
        <v>2840</v>
      </c>
      <c r="D218" s="2" t="s">
        <v>2841</v>
      </c>
      <c r="E218" s="1" t="s">
        <v>2819</v>
      </c>
      <c r="F218" s="1" t="s">
        <v>2842</v>
      </c>
      <c r="G218" s="1" t="s">
        <v>2211</v>
      </c>
      <c r="H218" s="1" t="s">
        <v>2843</v>
      </c>
      <c r="I218" s="1" t="s">
        <v>2220</v>
      </c>
      <c r="J218" s="1" t="s">
        <v>2844</v>
      </c>
      <c r="K218" s="3">
        <v>340</v>
      </c>
      <c r="L218" s="4">
        <v>65</v>
      </c>
      <c r="M218" s="4">
        <f t="shared" si="3"/>
        <v>22100</v>
      </c>
    </row>
    <row r="219" spans="1:13" ht="15.75" customHeight="1">
      <c r="A219" s="1" t="s">
        <v>2845</v>
      </c>
      <c r="B219" s="1" t="str">
        <f>"791390787663"</f>
        <v>791390787663</v>
      </c>
      <c r="C219" s="1" t="s">
        <v>2846</v>
      </c>
      <c r="D219" s="2" t="s">
        <v>2841</v>
      </c>
      <c r="E219" s="1" t="s">
        <v>2819</v>
      </c>
      <c r="F219" s="1" t="s">
        <v>2842</v>
      </c>
      <c r="G219" s="1" t="s">
        <v>2411</v>
      </c>
      <c r="H219" s="1" t="s">
        <v>2843</v>
      </c>
      <c r="I219" s="1" t="s">
        <v>2220</v>
      </c>
      <c r="J219" s="1" t="s">
        <v>2844</v>
      </c>
      <c r="K219" s="3">
        <v>110</v>
      </c>
      <c r="L219" s="4">
        <v>65</v>
      </c>
      <c r="M219" s="4">
        <f t="shared" si="3"/>
        <v>7150</v>
      </c>
    </row>
    <row r="220" spans="1:13" ht="15.75" customHeight="1">
      <c r="A220" s="1" t="s">
        <v>2847</v>
      </c>
      <c r="B220" s="1" t="str">
        <f>"791390787656"</f>
        <v>791390787656</v>
      </c>
      <c r="C220" s="1" t="s">
        <v>2848</v>
      </c>
      <c r="D220" s="2" t="s">
        <v>2841</v>
      </c>
      <c r="E220" s="1" t="s">
        <v>2819</v>
      </c>
      <c r="F220" s="1" t="s">
        <v>2842</v>
      </c>
      <c r="G220" s="1" t="s">
        <v>2219</v>
      </c>
      <c r="H220" s="1" t="s">
        <v>2843</v>
      </c>
      <c r="I220" s="1" t="s">
        <v>2220</v>
      </c>
      <c r="J220" s="1" t="s">
        <v>2844</v>
      </c>
      <c r="K220" s="3">
        <v>60</v>
      </c>
      <c r="L220" s="4">
        <v>65</v>
      </c>
      <c r="M220" s="4">
        <f t="shared" si="3"/>
        <v>3900</v>
      </c>
    </row>
    <row r="221" spans="1:13" ht="15.75" customHeight="1">
      <c r="A221" s="1" t="s">
        <v>2849</v>
      </c>
      <c r="B221" s="1" t="str">
        <f>"791390301906"</f>
        <v>791390301906</v>
      </c>
      <c r="C221" s="1" t="s">
        <v>2850</v>
      </c>
      <c r="D221" s="2" t="s">
        <v>2851</v>
      </c>
      <c r="E221" s="1" t="s">
        <v>2819</v>
      </c>
      <c r="F221" s="1" t="s">
        <v>2272</v>
      </c>
      <c r="G221" s="1" t="s">
        <v>2211</v>
      </c>
      <c r="H221" s="1" t="s">
        <v>2852</v>
      </c>
      <c r="I221" s="1" t="s">
        <v>2220</v>
      </c>
      <c r="J221" s="1" t="s">
        <v>2428</v>
      </c>
      <c r="K221" s="3">
        <v>93</v>
      </c>
      <c r="L221" s="4">
        <v>55</v>
      </c>
      <c r="M221" s="4">
        <f t="shared" si="3"/>
        <v>5115</v>
      </c>
    </row>
    <row r="222" spans="1:13" ht="15.75" customHeight="1">
      <c r="A222" s="1" t="s">
        <v>2853</v>
      </c>
      <c r="B222" s="1" t="str">
        <f>"791390301890"</f>
        <v>791390301890</v>
      </c>
      <c r="C222" s="1" t="s">
        <v>2854</v>
      </c>
      <c r="D222" s="2" t="s">
        <v>2851</v>
      </c>
      <c r="E222" s="1" t="s">
        <v>2819</v>
      </c>
      <c r="F222" s="1" t="s">
        <v>2272</v>
      </c>
      <c r="G222" s="1" t="s">
        <v>2411</v>
      </c>
      <c r="H222" s="1" t="s">
        <v>2852</v>
      </c>
      <c r="I222" s="1" t="s">
        <v>2220</v>
      </c>
      <c r="J222" s="1" t="s">
        <v>2428</v>
      </c>
      <c r="K222" s="3">
        <v>27</v>
      </c>
      <c r="L222" s="4">
        <v>55</v>
      </c>
      <c r="M222" s="4">
        <f t="shared" si="3"/>
        <v>1485</v>
      </c>
    </row>
    <row r="223" spans="1:13" ht="15.75" customHeight="1">
      <c r="A223" s="1" t="s">
        <v>2855</v>
      </c>
      <c r="B223" s="1" t="str">
        <f>"791390301883"</f>
        <v>791390301883</v>
      </c>
      <c r="C223" s="1" t="s">
        <v>2856</v>
      </c>
      <c r="D223" s="2" t="s">
        <v>2851</v>
      </c>
      <c r="E223" s="1" t="s">
        <v>2819</v>
      </c>
      <c r="F223" s="1" t="s">
        <v>2272</v>
      </c>
      <c r="G223" s="1" t="s">
        <v>2219</v>
      </c>
      <c r="H223" s="1" t="s">
        <v>2852</v>
      </c>
      <c r="I223" s="1" t="s">
        <v>2220</v>
      </c>
      <c r="J223" s="1" t="s">
        <v>2428</v>
      </c>
      <c r="K223" s="3">
        <v>32</v>
      </c>
      <c r="L223" s="4">
        <v>55</v>
      </c>
      <c r="M223" s="4">
        <f t="shared" si="3"/>
        <v>1760</v>
      </c>
    </row>
    <row r="224" spans="1:13" ht="15.75" customHeight="1">
      <c r="A224" s="1" t="s">
        <v>2857</v>
      </c>
      <c r="B224" s="1" t="str">
        <f>"198524026689"</f>
        <v>198524026689</v>
      </c>
      <c r="C224" s="1" t="s">
        <v>2858</v>
      </c>
      <c r="D224" s="2" t="s">
        <v>2768</v>
      </c>
      <c r="E224" s="1" t="s">
        <v>2819</v>
      </c>
      <c r="F224" s="1" t="s">
        <v>2210</v>
      </c>
      <c r="G224" s="1" t="s">
        <v>2405</v>
      </c>
      <c r="H224" s="1" t="s">
        <v>2859</v>
      </c>
      <c r="I224" s="1" t="s">
        <v>2220</v>
      </c>
      <c r="J224" s="1" t="s">
        <v>2844</v>
      </c>
      <c r="K224" s="3">
        <v>1</v>
      </c>
      <c r="L224" s="4">
        <v>40</v>
      </c>
      <c r="M224" s="4">
        <f t="shared" si="3"/>
        <v>40</v>
      </c>
    </row>
    <row r="225" spans="1:13" ht="15.75" customHeight="1">
      <c r="A225" s="1" t="s">
        <v>2860</v>
      </c>
      <c r="B225" s="1" t="str">
        <f>"198524026665"</f>
        <v>198524026665</v>
      </c>
      <c r="C225" s="1" t="s">
        <v>2861</v>
      </c>
      <c r="D225" s="2" t="s">
        <v>2768</v>
      </c>
      <c r="E225" s="1" t="s">
        <v>2819</v>
      </c>
      <c r="F225" s="1" t="s">
        <v>2210</v>
      </c>
      <c r="G225" s="1" t="s">
        <v>2211</v>
      </c>
      <c r="H225" s="1" t="s">
        <v>2859</v>
      </c>
      <c r="I225" s="1" t="s">
        <v>2220</v>
      </c>
      <c r="J225" s="1" t="s">
        <v>2844</v>
      </c>
      <c r="K225" s="3">
        <v>2</v>
      </c>
      <c r="L225" s="4">
        <v>40</v>
      </c>
      <c r="M225" s="4">
        <f t="shared" si="3"/>
        <v>80</v>
      </c>
    </row>
    <row r="226" spans="1:13" ht="15.75" customHeight="1">
      <c r="A226" s="1" t="s">
        <v>2862</v>
      </c>
      <c r="B226" s="1" t="str">
        <f>"198524026658"</f>
        <v>198524026658</v>
      </c>
      <c r="C226" s="1" t="s">
        <v>2863</v>
      </c>
      <c r="D226" s="2" t="s">
        <v>2768</v>
      </c>
      <c r="E226" s="1" t="s">
        <v>2819</v>
      </c>
      <c r="F226" s="1" t="s">
        <v>2210</v>
      </c>
      <c r="G226" s="1" t="s">
        <v>2411</v>
      </c>
      <c r="H226" s="1" t="s">
        <v>2859</v>
      </c>
      <c r="I226" s="1" t="s">
        <v>2220</v>
      </c>
      <c r="J226" s="1" t="s">
        <v>2844</v>
      </c>
      <c r="K226" s="3">
        <v>1</v>
      </c>
      <c r="L226" s="4">
        <v>40</v>
      </c>
      <c r="M226" s="4">
        <f t="shared" si="3"/>
        <v>40</v>
      </c>
    </row>
    <row r="227" spans="1:13" ht="15.75" customHeight="1">
      <c r="A227" s="1" t="s">
        <v>2864</v>
      </c>
      <c r="B227" s="1" t="str">
        <f>"198524026672"</f>
        <v>198524026672</v>
      </c>
      <c r="C227" s="1" t="s">
        <v>2865</v>
      </c>
      <c r="D227" s="2" t="s">
        <v>2768</v>
      </c>
      <c r="E227" s="1" t="s">
        <v>2819</v>
      </c>
      <c r="F227" s="1" t="s">
        <v>2210</v>
      </c>
      <c r="G227" s="1" t="s">
        <v>2418</v>
      </c>
      <c r="H227" s="1" t="s">
        <v>2859</v>
      </c>
      <c r="I227" s="1" t="s">
        <v>2220</v>
      </c>
      <c r="J227" s="1" t="s">
        <v>2844</v>
      </c>
      <c r="K227" s="3">
        <v>3</v>
      </c>
      <c r="L227" s="4">
        <v>40</v>
      </c>
      <c r="M227" s="4">
        <f t="shared" si="3"/>
        <v>120</v>
      </c>
    </row>
    <row r="228" spans="1:13" ht="15.75" customHeight="1">
      <c r="A228" s="1" t="s">
        <v>2866</v>
      </c>
      <c r="B228" s="1" t="str">
        <f>"198524026580"</f>
        <v>198524026580</v>
      </c>
      <c r="C228" s="1" t="s">
        <v>2867</v>
      </c>
      <c r="D228" s="2" t="s">
        <v>2768</v>
      </c>
      <c r="E228" s="1" t="s">
        <v>2819</v>
      </c>
      <c r="F228" s="1" t="s">
        <v>2868</v>
      </c>
      <c r="G228" s="1" t="s">
        <v>2405</v>
      </c>
      <c r="H228" s="1" t="s">
        <v>2869</v>
      </c>
      <c r="I228" s="1" t="s">
        <v>2220</v>
      </c>
      <c r="J228" s="1" t="s">
        <v>2844</v>
      </c>
      <c r="K228" s="3">
        <v>3</v>
      </c>
      <c r="L228" s="4">
        <v>40</v>
      </c>
      <c r="M228" s="4">
        <f t="shared" si="3"/>
        <v>120</v>
      </c>
    </row>
    <row r="229" spans="1:13" ht="15.75" customHeight="1">
      <c r="A229" s="1" t="s">
        <v>2870</v>
      </c>
      <c r="B229" s="1" t="str">
        <f>"198524026566"</f>
        <v>198524026566</v>
      </c>
      <c r="C229" s="1" t="s">
        <v>2871</v>
      </c>
      <c r="D229" s="2" t="s">
        <v>2768</v>
      </c>
      <c r="E229" s="1" t="s">
        <v>2819</v>
      </c>
      <c r="F229" s="1" t="s">
        <v>2868</v>
      </c>
      <c r="G229" s="1" t="s">
        <v>2211</v>
      </c>
      <c r="H229" s="1" t="s">
        <v>2869</v>
      </c>
      <c r="I229" s="1" t="s">
        <v>2220</v>
      </c>
      <c r="J229" s="1" t="s">
        <v>2844</v>
      </c>
      <c r="K229" s="3">
        <v>2</v>
      </c>
      <c r="L229" s="4">
        <v>40</v>
      </c>
      <c r="M229" s="4">
        <f t="shared" si="3"/>
        <v>80</v>
      </c>
    </row>
    <row r="230" spans="1:13" ht="15.75" customHeight="1">
      <c r="A230" s="1" t="s">
        <v>2872</v>
      </c>
      <c r="B230" s="1" t="str">
        <f>"198524026559"</f>
        <v>198524026559</v>
      </c>
      <c r="C230" s="1" t="s">
        <v>2873</v>
      </c>
      <c r="D230" s="2" t="s">
        <v>2768</v>
      </c>
      <c r="E230" s="1" t="s">
        <v>2819</v>
      </c>
      <c r="F230" s="1" t="s">
        <v>2868</v>
      </c>
      <c r="G230" s="1" t="s">
        <v>2411</v>
      </c>
      <c r="H230" s="1" t="s">
        <v>2869</v>
      </c>
      <c r="I230" s="1" t="s">
        <v>2220</v>
      </c>
      <c r="J230" s="1" t="s">
        <v>2844</v>
      </c>
      <c r="K230" s="3">
        <v>1</v>
      </c>
      <c r="L230" s="4">
        <v>40</v>
      </c>
      <c r="M230" s="4">
        <f t="shared" si="3"/>
        <v>40</v>
      </c>
    </row>
    <row r="231" spans="1:13" ht="15.75" customHeight="1">
      <c r="A231" s="1" t="s">
        <v>2874</v>
      </c>
      <c r="B231" s="1" t="str">
        <f>"198524026573"</f>
        <v>198524026573</v>
      </c>
      <c r="C231" s="1" t="s">
        <v>2875</v>
      </c>
      <c r="D231" s="2" t="s">
        <v>2768</v>
      </c>
      <c r="E231" s="1" t="s">
        <v>2819</v>
      </c>
      <c r="F231" s="1" t="s">
        <v>2868</v>
      </c>
      <c r="G231" s="1" t="s">
        <v>2418</v>
      </c>
      <c r="H231" s="1" t="s">
        <v>2869</v>
      </c>
      <c r="I231" s="1" t="s">
        <v>2220</v>
      </c>
      <c r="J231" s="1" t="s">
        <v>2844</v>
      </c>
      <c r="K231" s="3">
        <v>5</v>
      </c>
      <c r="L231" s="4">
        <v>40</v>
      </c>
      <c r="M231" s="4">
        <f t="shared" si="3"/>
        <v>200</v>
      </c>
    </row>
    <row r="232" spans="1:13" ht="15.75" customHeight="1">
      <c r="A232" s="1" t="s">
        <v>2876</v>
      </c>
      <c r="B232" s="1" t="str">
        <f>"198524031485"</f>
        <v>198524031485</v>
      </c>
      <c r="C232" s="1" t="s">
        <v>2877</v>
      </c>
      <c r="D232" s="2" t="s">
        <v>2818</v>
      </c>
      <c r="E232" s="1" t="s">
        <v>2819</v>
      </c>
      <c r="F232" s="1" t="s">
        <v>2272</v>
      </c>
      <c r="G232" s="1" t="s">
        <v>2405</v>
      </c>
      <c r="H232" s="1" t="s">
        <v>2820</v>
      </c>
      <c r="I232" s="1" t="s">
        <v>2220</v>
      </c>
      <c r="J232" s="1" t="s">
        <v>2235</v>
      </c>
      <c r="K232" s="3">
        <v>1</v>
      </c>
      <c r="L232" s="4">
        <v>60</v>
      </c>
      <c r="M232" s="4">
        <f t="shared" si="3"/>
        <v>60</v>
      </c>
    </row>
    <row r="233" spans="1:13" ht="15.75" customHeight="1">
      <c r="A233" s="1" t="s">
        <v>2878</v>
      </c>
      <c r="B233" s="1" t="str">
        <f>"791390133019"</f>
        <v>791390133019</v>
      </c>
      <c r="C233" s="1" t="s">
        <v>2879</v>
      </c>
      <c r="D233" s="2" t="s">
        <v>2880</v>
      </c>
      <c r="E233" s="1" t="s">
        <v>2819</v>
      </c>
      <c r="F233" s="1" t="s">
        <v>2881</v>
      </c>
      <c r="G233" s="1" t="s">
        <v>2211</v>
      </c>
      <c r="H233" s="1" t="s">
        <v>2852</v>
      </c>
      <c r="I233" s="1" t="s">
        <v>2220</v>
      </c>
      <c r="J233" s="1" t="s">
        <v>2428</v>
      </c>
      <c r="K233" s="3">
        <v>60</v>
      </c>
      <c r="L233" s="4">
        <v>55</v>
      </c>
      <c r="M233" s="4">
        <f t="shared" si="3"/>
        <v>3300</v>
      </c>
    </row>
    <row r="234" spans="1:13" ht="15.75" customHeight="1">
      <c r="A234" s="1" t="s">
        <v>2882</v>
      </c>
      <c r="B234" s="1" t="str">
        <f>"791390132999"</f>
        <v>791390132999</v>
      </c>
      <c r="C234" s="1" t="s">
        <v>2883</v>
      </c>
      <c r="D234" s="2" t="s">
        <v>2880</v>
      </c>
      <c r="E234" s="1" t="s">
        <v>2819</v>
      </c>
      <c r="F234" s="1" t="s">
        <v>2881</v>
      </c>
      <c r="G234" s="1" t="s">
        <v>2219</v>
      </c>
      <c r="H234" s="1" t="s">
        <v>2852</v>
      </c>
      <c r="I234" s="1" t="s">
        <v>2220</v>
      </c>
      <c r="J234" s="1" t="s">
        <v>2428</v>
      </c>
      <c r="K234" s="3">
        <v>23</v>
      </c>
      <c r="L234" s="4">
        <v>55</v>
      </c>
      <c r="M234" s="4">
        <f t="shared" si="3"/>
        <v>1265</v>
      </c>
    </row>
    <row r="235" spans="1:13" ht="15.75" customHeight="1">
      <c r="A235" s="1" t="s">
        <v>2884</v>
      </c>
      <c r="B235" s="1" t="str">
        <f>"791390958285"</f>
        <v>791390958285</v>
      </c>
      <c r="C235" s="1" t="s">
        <v>2885</v>
      </c>
      <c r="D235" s="2" t="s">
        <v>2886</v>
      </c>
      <c r="E235" s="1" t="s">
        <v>2819</v>
      </c>
      <c r="F235" s="1" t="s">
        <v>2887</v>
      </c>
      <c r="G235" s="1" t="s">
        <v>2219</v>
      </c>
      <c r="H235" s="1" t="s">
        <v>2888</v>
      </c>
      <c r="I235" s="1" t="s">
        <v>2220</v>
      </c>
      <c r="J235" s="1" t="s">
        <v>2428</v>
      </c>
      <c r="K235" s="3">
        <v>8</v>
      </c>
      <c r="L235" s="4">
        <v>55</v>
      </c>
      <c r="M235" s="4">
        <f t="shared" si="3"/>
        <v>440</v>
      </c>
    </row>
    <row r="236" spans="1:13" ht="15.75" customHeight="1">
      <c r="A236" s="1" t="s">
        <v>2889</v>
      </c>
      <c r="B236" s="1" t="str">
        <f>"791390725955"</f>
        <v>791390725955</v>
      </c>
      <c r="C236" s="1" t="s">
        <v>2890</v>
      </c>
      <c r="D236" s="2" t="s">
        <v>2891</v>
      </c>
      <c r="E236" s="1" t="s">
        <v>2819</v>
      </c>
      <c r="F236" s="1" t="s">
        <v>2892</v>
      </c>
      <c r="G236" s="1" t="s">
        <v>2211</v>
      </c>
      <c r="H236" s="1" t="s">
        <v>2893</v>
      </c>
      <c r="I236" s="1" t="s">
        <v>2220</v>
      </c>
      <c r="J236" s="1" t="s">
        <v>2428</v>
      </c>
      <c r="K236" s="3">
        <v>28</v>
      </c>
      <c r="L236" s="4">
        <v>55</v>
      </c>
      <c r="M236" s="4">
        <f t="shared" si="3"/>
        <v>1540</v>
      </c>
    </row>
    <row r="237" spans="1:13" ht="15.75" customHeight="1">
      <c r="A237" s="1" t="s">
        <v>2894</v>
      </c>
      <c r="B237" s="1" t="str">
        <f>"791390725931"</f>
        <v>791390725931</v>
      </c>
      <c r="C237" s="1" t="s">
        <v>2895</v>
      </c>
      <c r="D237" s="2" t="s">
        <v>2891</v>
      </c>
      <c r="E237" s="1" t="s">
        <v>2819</v>
      </c>
      <c r="F237" s="1" t="s">
        <v>2892</v>
      </c>
      <c r="G237" s="1" t="s">
        <v>2219</v>
      </c>
      <c r="H237" s="1" t="s">
        <v>2893</v>
      </c>
      <c r="I237" s="1" t="s">
        <v>2220</v>
      </c>
      <c r="J237" s="1" t="s">
        <v>2428</v>
      </c>
      <c r="K237" s="3">
        <v>28</v>
      </c>
      <c r="L237" s="4">
        <v>55</v>
      </c>
      <c r="M237" s="4">
        <f t="shared" si="3"/>
        <v>1540</v>
      </c>
    </row>
    <row r="238" spans="1:13" ht="15.75" customHeight="1">
      <c r="A238" s="1" t="s">
        <v>2896</v>
      </c>
      <c r="B238" s="1" t="str">
        <f>"791390146583"</f>
        <v>791390146583</v>
      </c>
      <c r="C238" s="1" t="s">
        <v>2897</v>
      </c>
      <c r="D238" s="2" t="s">
        <v>2898</v>
      </c>
      <c r="E238" s="1" t="s">
        <v>2819</v>
      </c>
      <c r="F238" s="1" t="s">
        <v>2899</v>
      </c>
      <c r="G238" s="1" t="s">
        <v>2211</v>
      </c>
      <c r="H238" s="1" t="s">
        <v>2900</v>
      </c>
      <c r="I238" s="1" t="s">
        <v>2220</v>
      </c>
      <c r="J238" s="1" t="s">
        <v>2428</v>
      </c>
      <c r="K238" s="3">
        <v>160</v>
      </c>
      <c r="L238" s="4">
        <v>55</v>
      </c>
      <c r="M238" s="4">
        <f t="shared" si="3"/>
        <v>8800</v>
      </c>
    </row>
    <row r="239" spans="1:13" ht="15.75" customHeight="1">
      <c r="A239" s="1" t="s">
        <v>2901</v>
      </c>
      <c r="B239" s="1" t="str">
        <f>"791390146569"</f>
        <v>791390146569</v>
      </c>
      <c r="C239" s="1" t="s">
        <v>2902</v>
      </c>
      <c r="D239" s="2" t="s">
        <v>2898</v>
      </c>
      <c r="E239" s="1" t="s">
        <v>2819</v>
      </c>
      <c r="F239" s="1" t="s">
        <v>2899</v>
      </c>
      <c r="G239" s="1" t="s">
        <v>2219</v>
      </c>
      <c r="H239" s="1" t="s">
        <v>2900</v>
      </c>
      <c r="I239" s="1" t="s">
        <v>2220</v>
      </c>
      <c r="J239" s="1" t="s">
        <v>2428</v>
      </c>
      <c r="K239" s="3">
        <v>90</v>
      </c>
      <c r="L239" s="4">
        <v>55</v>
      </c>
      <c r="M239" s="4">
        <f t="shared" si="3"/>
        <v>4950</v>
      </c>
    </row>
    <row r="240" spans="1:13" ht="15.75" customHeight="1">
      <c r="A240" s="1" t="s">
        <v>2903</v>
      </c>
      <c r="B240" s="1" t="str">
        <f>"791390588185"</f>
        <v>791390588185</v>
      </c>
      <c r="C240" s="1" t="s">
        <v>2904</v>
      </c>
      <c r="D240" s="2" t="s">
        <v>2905</v>
      </c>
      <c r="E240" s="1" t="s">
        <v>2819</v>
      </c>
      <c r="F240" s="1" t="s">
        <v>2906</v>
      </c>
      <c r="G240" s="1" t="s">
        <v>2211</v>
      </c>
      <c r="H240" s="1" t="s">
        <v>2907</v>
      </c>
      <c r="I240" s="1" t="s">
        <v>2220</v>
      </c>
      <c r="J240" s="1" t="s">
        <v>2235</v>
      </c>
      <c r="K240" s="3">
        <v>10</v>
      </c>
      <c r="L240" s="4">
        <v>50</v>
      </c>
      <c r="M240" s="4">
        <f t="shared" si="3"/>
        <v>500</v>
      </c>
    </row>
    <row r="241" spans="1:13" ht="15.75" customHeight="1">
      <c r="A241" s="1" t="s">
        <v>2908</v>
      </c>
      <c r="B241" s="1" t="str">
        <f>"198524027013"</f>
        <v>198524027013</v>
      </c>
      <c r="C241" s="1" t="s">
        <v>2909</v>
      </c>
      <c r="D241" s="2"/>
      <c r="E241" s="1" t="s">
        <v>2819</v>
      </c>
      <c r="F241" s="1" t="s">
        <v>2210</v>
      </c>
      <c r="G241" s="1" t="s">
        <v>2211</v>
      </c>
      <c r="H241" s="1" t="s">
        <v>2910</v>
      </c>
      <c r="I241" s="1" t="s">
        <v>2220</v>
      </c>
      <c r="J241" s="1" t="s">
        <v>2911</v>
      </c>
      <c r="K241" s="3">
        <v>3</v>
      </c>
      <c r="L241" s="4">
        <v>50</v>
      </c>
      <c r="M241" s="4">
        <f t="shared" si="3"/>
        <v>150</v>
      </c>
    </row>
    <row r="242" spans="1:13" ht="15.75" customHeight="1">
      <c r="A242" s="1" t="s">
        <v>2912</v>
      </c>
      <c r="B242" s="1" t="str">
        <f>"198524027006"</f>
        <v>198524027006</v>
      </c>
      <c r="C242" s="1" t="s">
        <v>2913</v>
      </c>
      <c r="D242" s="2" t="s">
        <v>2914</v>
      </c>
      <c r="E242" s="1" t="s">
        <v>2819</v>
      </c>
      <c r="F242" s="1" t="s">
        <v>2210</v>
      </c>
      <c r="G242" s="1" t="s">
        <v>2411</v>
      </c>
      <c r="H242" s="1" t="s">
        <v>2910</v>
      </c>
      <c r="I242" s="1" t="s">
        <v>2220</v>
      </c>
      <c r="J242" s="1" t="s">
        <v>2911</v>
      </c>
      <c r="K242" s="3">
        <v>1</v>
      </c>
      <c r="L242" s="4">
        <v>50</v>
      </c>
      <c r="M242" s="4">
        <f t="shared" si="3"/>
        <v>50</v>
      </c>
    </row>
    <row r="243" spans="1:13" ht="15.75" customHeight="1">
      <c r="A243" s="1" t="s">
        <v>2915</v>
      </c>
      <c r="B243" s="1" t="str">
        <f>"198524026368"</f>
        <v>198524026368</v>
      </c>
      <c r="C243" s="1" t="s">
        <v>2916</v>
      </c>
      <c r="D243" s="2" t="s">
        <v>2917</v>
      </c>
      <c r="E243" s="1" t="s">
        <v>2819</v>
      </c>
      <c r="F243" s="1" t="s">
        <v>2210</v>
      </c>
      <c r="G243" s="1" t="s">
        <v>2211</v>
      </c>
      <c r="H243" s="1" t="s">
        <v>2918</v>
      </c>
      <c r="I243" s="1" t="s">
        <v>2220</v>
      </c>
      <c r="J243" s="1" t="s">
        <v>2432</v>
      </c>
      <c r="K243" s="3">
        <v>1</v>
      </c>
      <c r="L243" s="4">
        <v>50</v>
      </c>
      <c r="M243" s="4">
        <f t="shared" si="3"/>
        <v>50</v>
      </c>
    </row>
    <row r="244" spans="1:13" ht="15.75" customHeight="1">
      <c r="A244" s="1" t="s">
        <v>2919</v>
      </c>
      <c r="B244" s="1" t="str">
        <f>"791390300343"</f>
        <v>791390300343</v>
      </c>
      <c r="C244" s="1" t="s">
        <v>2920</v>
      </c>
      <c r="D244" s="2" t="s">
        <v>2921</v>
      </c>
      <c r="E244" s="1" t="s">
        <v>2819</v>
      </c>
      <c r="F244" s="1" t="s">
        <v>2922</v>
      </c>
      <c r="G244" s="1" t="s">
        <v>2211</v>
      </c>
      <c r="H244" s="1" t="s">
        <v>2923</v>
      </c>
      <c r="I244" s="1" t="s">
        <v>2220</v>
      </c>
      <c r="J244" s="1" t="s">
        <v>2428</v>
      </c>
      <c r="K244" s="3">
        <v>63</v>
      </c>
      <c r="L244" s="4">
        <v>45</v>
      </c>
      <c r="M244" s="4">
        <f t="shared" si="3"/>
        <v>2835</v>
      </c>
    </row>
    <row r="245" spans="1:13" ht="15.75" customHeight="1">
      <c r="A245" s="1" t="s">
        <v>2924</v>
      </c>
      <c r="B245" s="1" t="str">
        <f>"791390300329"</f>
        <v>791390300329</v>
      </c>
      <c r="C245" s="1" t="s">
        <v>2925</v>
      </c>
      <c r="D245" s="2" t="s">
        <v>2921</v>
      </c>
      <c r="E245" s="1" t="s">
        <v>2819</v>
      </c>
      <c r="F245" s="1" t="s">
        <v>2922</v>
      </c>
      <c r="G245" s="1" t="s">
        <v>2219</v>
      </c>
      <c r="H245" s="1" t="s">
        <v>2923</v>
      </c>
      <c r="I245" s="1" t="s">
        <v>2220</v>
      </c>
      <c r="J245" s="1" t="s">
        <v>2428</v>
      </c>
      <c r="K245" s="3">
        <v>31</v>
      </c>
      <c r="L245" s="4">
        <v>45</v>
      </c>
      <c r="M245" s="4">
        <f t="shared" si="3"/>
        <v>1395</v>
      </c>
    </row>
    <row r="246" spans="1:13" ht="15.75" customHeight="1">
      <c r="A246" s="1" t="s">
        <v>2926</v>
      </c>
      <c r="B246" s="1" t="str">
        <f>"791390151648"</f>
        <v>791390151648</v>
      </c>
      <c r="C246" s="1" t="s">
        <v>2927</v>
      </c>
      <c r="D246" s="2" t="s">
        <v>2928</v>
      </c>
      <c r="E246" s="1" t="s">
        <v>2819</v>
      </c>
      <c r="F246" s="1" t="s">
        <v>2929</v>
      </c>
      <c r="G246" s="1" t="s">
        <v>2211</v>
      </c>
      <c r="H246" s="1" t="s">
        <v>2923</v>
      </c>
      <c r="I246" s="1" t="s">
        <v>2220</v>
      </c>
      <c r="J246" s="1" t="s">
        <v>2428</v>
      </c>
      <c r="K246" s="3">
        <v>12</v>
      </c>
      <c r="L246" s="4">
        <v>45</v>
      </c>
      <c r="M246" s="4">
        <f t="shared" si="3"/>
        <v>540</v>
      </c>
    </row>
    <row r="247" spans="1:13" ht="15.75" customHeight="1">
      <c r="A247" s="1" t="s">
        <v>2930</v>
      </c>
      <c r="B247" s="1" t="str">
        <f>"196730075798"</f>
        <v>196730075798</v>
      </c>
      <c r="C247" s="1" t="s">
        <v>2931</v>
      </c>
      <c r="D247" s="2" t="s">
        <v>2932</v>
      </c>
      <c r="E247" s="1" t="s">
        <v>2819</v>
      </c>
      <c r="F247" s="1" t="s">
        <v>2933</v>
      </c>
      <c r="G247" s="1" t="s">
        <v>2411</v>
      </c>
      <c r="H247" s="1" t="s">
        <v>2934</v>
      </c>
      <c r="I247" s="1" t="s">
        <v>2257</v>
      </c>
      <c r="J247" s="1" t="s">
        <v>2935</v>
      </c>
      <c r="K247" s="3">
        <v>16</v>
      </c>
      <c r="L247" s="4">
        <v>245</v>
      </c>
      <c r="M247" s="4">
        <f t="shared" si="3"/>
        <v>3920</v>
      </c>
    </row>
    <row r="248" spans="1:13" ht="15.75" customHeight="1">
      <c r="A248" s="1" t="s">
        <v>2936</v>
      </c>
      <c r="B248" s="1" t="str">
        <f>"791390606308"</f>
        <v>791390606308</v>
      </c>
      <c r="C248" s="1" t="s">
        <v>2937</v>
      </c>
      <c r="D248" s="2" t="s">
        <v>2938</v>
      </c>
      <c r="E248" s="1" t="s">
        <v>2819</v>
      </c>
      <c r="F248" s="1" t="s">
        <v>2939</v>
      </c>
      <c r="G248" s="1" t="s">
        <v>2211</v>
      </c>
      <c r="H248" s="1" t="s">
        <v>2940</v>
      </c>
      <c r="I248" s="1" t="s">
        <v>2220</v>
      </c>
      <c r="J248" s="1" t="s">
        <v>2815</v>
      </c>
      <c r="K248" s="3">
        <v>111</v>
      </c>
      <c r="L248" s="4">
        <v>75</v>
      </c>
      <c r="M248" s="4">
        <f t="shared" si="3"/>
        <v>8325</v>
      </c>
    </row>
    <row r="249" spans="1:13" ht="15.75" customHeight="1">
      <c r="A249" s="1" t="s">
        <v>1576</v>
      </c>
      <c r="B249" s="1" t="str">
        <f>"791390606292"</f>
        <v>791390606292</v>
      </c>
      <c r="C249" s="1" t="s">
        <v>1577</v>
      </c>
      <c r="D249" s="2" t="s">
        <v>2938</v>
      </c>
      <c r="E249" s="1" t="s">
        <v>2819</v>
      </c>
      <c r="F249" s="1" t="s">
        <v>2939</v>
      </c>
      <c r="G249" s="1" t="s">
        <v>2411</v>
      </c>
      <c r="H249" s="1" t="s">
        <v>2940</v>
      </c>
      <c r="I249" s="1" t="s">
        <v>2220</v>
      </c>
      <c r="J249" s="1" t="s">
        <v>2815</v>
      </c>
      <c r="K249" s="3">
        <v>33</v>
      </c>
      <c r="L249" s="4">
        <v>75</v>
      </c>
      <c r="M249" s="4">
        <f t="shared" si="3"/>
        <v>2475</v>
      </c>
    </row>
    <row r="250" spans="1:13" ht="15.75" customHeight="1">
      <c r="A250" s="1" t="s">
        <v>1578</v>
      </c>
      <c r="B250" s="1" t="str">
        <f>"791390606285"</f>
        <v>791390606285</v>
      </c>
      <c r="C250" s="1" t="s">
        <v>1579</v>
      </c>
      <c r="D250" s="2" t="s">
        <v>2938</v>
      </c>
      <c r="E250" s="1" t="s">
        <v>2819</v>
      </c>
      <c r="F250" s="1" t="s">
        <v>2939</v>
      </c>
      <c r="G250" s="1" t="s">
        <v>2219</v>
      </c>
      <c r="H250" s="1" t="s">
        <v>2940</v>
      </c>
      <c r="I250" s="1" t="s">
        <v>2220</v>
      </c>
      <c r="J250" s="1" t="s">
        <v>2815</v>
      </c>
      <c r="K250" s="3">
        <v>30</v>
      </c>
      <c r="L250" s="4">
        <v>75</v>
      </c>
      <c r="M250" s="4">
        <f t="shared" si="3"/>
        <v>2250</v>
      </c>
    </row>
    <row r="251" spans="1:13" ht="15.75" customHeight="1">
      <c r="A251" s="1" t="s">
        <v>1580</v>
      </c>
      <c r="B251" s="1" t="str">
        <f>"791390606414"</f>
        <v>791390606414</v>
      </c>
      <c r="C251" s="1" t="s">
        <v>1581</v>
      </c>
      <c r="D251" s="2" t="s">
        <v>1582</v>
      </c>
      <c r="E251" s="1" t="s">
        <v>2819</v>
      </c>
      <c r="F251" s="1" t="s">
        <v>1583</v>
      </c>
      <c r="G251" s="1" t="s">
        <v>2211</v>
      </c>
      <c r="H251" s="1" t="s">
        <v>2940</v>
      </c>
      <c r="I251" s="1" t="s">
        <v>2220</v>
      </c>
      <c r="J251" s="1" t="s">
        <v>2815</v>
      </c>
      <c r="K251" s="3">
        <v>36</v>
      </c>
      <c r="L251" s="4">
        <v>75</v>
      </c>
      <c r="M251" s="4">
        <f t="shared" si="3"/>
        <v>2700</v>
      </c>
    </row>
    <row r="252" spans="1:13" ht="15.75" customHeight="1">
      <c r="A252" s="1" t="s">
        <v>1584</v>
      </c>
      <c r="B252" s="1" t="str">
        <f>"791390606353"</f>
        <v>791390606353</v>
      </c>
      <c r="C252" s="1" t="s">
        <v>1585</v>
      </c>
      <c r="D252" s="2" t="s">
        <v>1582</v>
      </c>
      <c r="E252" s="1" t="s">
        <v>2819</v>
      </c>
      <c r="F252" s="1" t="s">
        <v>1583</v>
      </c>
      <c r="G252" s="1" t="s">
        <v>2411</v>
      </c>
      <c r="H252" s="1" t="s">
        <v>2940</v>
      </c>
      <c r="I252" s="1" t="s">
        <v>2220</v>
      </c>
      <c r="J252" s="1" t="s">
        <v>2815</v>
      </c>
      <c r="K252" s="3">
        <v>52</v>
      </c>
      <c r="L252" s="4">
        <v>75</v>
      </c>
      <c r="M252" s="4">
        <f t="shared" si="3"/>
        <v>3900</v>
      </c>
    </row>
    <row r="253" spans="1:13" ht="15.75" customHeight="1">
      <c r="A253" s="1" t="s">
        <v>1586</v>
      </c>
      <c r="B253" s="1" t="str">
        <f>"791390606346"</f>
        <v>791390606346</v>
      </c>
      <c r="C253" s="1" t="s">
        <v>1587</v>
      </c>
      <c r="D253" s="2" t="s">
        <v>1582</v>
      </c>
      <c r="E253" s="1" t="s">
        <v>2819</v>
      </c>
      <c r="F253" s="1" t="s">
        <v>1583</v>
      </c>
      <c r="G253" s="1" t="s">
        <v>2219</v>
      </c>
      <c r="H253" s="1" t="s">
        <v>2940</v>
      </c>
      <c r="I253" s="1" t="s">
        <v>2220</v>
      </c>
      <c r="J253" s="1" t="s">
        <v>2815</v>
      </c>
      <c r="K253" s="3">
        <v>37</v>
      </c>
      <c r="L253" s="4">
        <v>75</v>
      </c>
      <c r="M253" s="4">
        <f t="shared" si="3"/>
        <v>2775</v>
      </c>
    </row>
    <row r="254" spans="1:13" ht="15.75" customHeight="1">
      <c r="A254" s="1" t="s">
        <v>1588</v>
      </c>
      <c r="B254" s="1" t="str">
        <f>"791390610794"</f>
        <v>791390610794</v>
      </c>
      <c r="C254" s="1" t="s">
        <v>1589</v>
      </c>
      <c r="D254" s="2" t="s">
        <v>1590</v>
      </c>
      <c r="E254" s="1" t="s">
        <v>2819</v>
      </c>
      <c r="F254" s="1" t="s">
        <v>1591</v>
      </c>
      <c r="G254" s="1" t="s">
        <v>2211</v>
      </c>
      <c r="H254" s="1" t="s">
        <v>2940</v>
      </c>
      <c r="I254" s="1" t="s">
        <v>2220</v>
      </c>
      <c r="J254" s="1" t="s">
        <v>2815</v>
      </c>
      <c r="K254" s="3">
        <v>170</v>
      </c>
      <c r="L254" s="4">
        <v>75</v>
      </c>
      <c r="M254" s="4">
        <f t="shared" si="3"/>
        <v>12750</v>
      </c>
    </row>
    <row r="255" spans="1:13" ht="15.75" customHeight="1">
      <c r="A255" s="1" t="s">
        <v>1592</v>
      </c>
      <c r="B255" s="1" t="str">
        <f>"791390610787"</f>
        <v>791390610787</v>
      </c>
      <c r="C255" s="1" t="s">
        <v>1593</v>
      </c>
      <c r="D255" s="2" t="s">
        <v>1590</v>
      </c>
      <c r="E255" s="1" t="s">
        <v>2819</v>
      </c>
      <c r="F255" s="1" t="s">
        <v>1591</v>
      </c>
      <c r="G255" s="1" t="s">
        <v>2411</v>
      </c>
      <c r="H255" s="1" t="s">
        <v>2940</v>
      </c>
      <c r="I255" s="1" t="s">
        <v>2220</v>
      </c>
      <c r="J255" s="1" t="s">
        <v>2815</v>
      </c>
      <c r="K255" s="3">
        <v>59</v>
      </c>
      <c r="L255" s="4">
        <v>75</v>
      </c>
      <c r="M255" s="4">
        <f t="shared" si="3"/>
        <v>4425</v>
      </c>
    </row>
    <row r="256" spans="1:13" ht="15.75" customHeight="1">
      <c r="A256" s="1" t="s">
        <v>1594</v>
      </c>
      <c r="B256" s="1" t="str">
        <f>"791390610770"</f>
        <v>791390610770</v>
      </c>
      <c r="C256" s="1" t="s">
        <v>1595</v>
      </c>
      <c r="D256" s="2" t="s">
        <v>1590</v>
      </c>
      <c r="E256" s="1" t="s">
        <v>2819</v>
      </c>
      <c r="F256" s="1" t="s">
        <v>1591</v>
      </c>
      <c r="G256" s="1" t="s">
        <v>2219</v>
      </c>
      <c r="H256" s="1" t="s">
        <v>2940</v>
      </c>
      <c r="I256" s="1" t="s">
        <v>2220</v>
      </c>
      <c r="J256" s="1" t="s">
        <v>2815</v>
      </c>
      <c r="K256" s="3">
        <v>37</v>
      </c>
      <c r="L256" s="4">
        <v>75</v>
      </c>
      <c r="M256" s="4">
        <f t="shared" si="3"/>
        <v>2775</v>
      </c>
    </row>
    <row r="257" spans="1:13" ht="15.75" customHeight="1">
      <c r="A257" s="1" t="s">
        <v>1596</v>
      </c>
      <c r="B257" s="1" t="str">
        <f>"791390624173"</f>
        <v>791390624173</v>
      </c>
      <c r="C257" s="1" t="s">
        <v>1597</v>
      </c>
      <c r="D257" s="2" t="s">
        <v>1598</v>
      </c>
      <c r="E257" s="1" t="s">
        <v>2819</v>
      </c>
      <c r="F257" s="1" t="s">
        <v>1599</v>
      </c>
      <c r="G257" s="1" t="s">
        <v>2211</v>
      </c>
      <c r="H257" s="1" t="s">
        <v>2940</v>
      </c>
      <c r="I257" s="1" t="s">
        <v>2220</v>
      </c>
      <c r="J257" s="1" t="s">
        <v>2815</v>
      </c>
      <c r="K257" s="3">
        <v>165</v>
      </c>
      <c r="L257" s="4">
        <v>75</v>
      </c>
      <c r="M257" s="4">
        <f t="shared" si="3"/>
        <v>12375</v>
      </c>
    </row>
    <row r="258" spans="1:13" ht="15.75" customHeight="1">
      <c r="A258" s="1" t="s">
        <v>1600</v>
      </c>
      <c r="B258" s="1" t="str">
        <f>"791390624166"</f>
        <v>791390624166</v>
      </c>
      <c r="C258" s="1" t="s">
        <v>1601</v>
      </c>
      <c r="D258" s="2" t="s">
        <v>1598</v>
      </c>
      <c r="E258" s="1" t="s">
        <v>2819</v>
      </c>
      <c r="F258" s="1" t="s">
        <v>1599</v>
      </c>
      <c r="G258" s="1" t="s">
        <v>2411</v>
      </c>
      <c r="H258" s="1" t="s">
        <v>2940</v>
      </c>
      <c r="I258" s="1" t="s">
        <v>2220</v>
      </c>
      <c r="J258" s="1" t="s">
        <v>2815</v>
      </c>
      <c r="K258" s="3">
        <v>27</v>
      </c>
      <c r="L258" s="4">
        <v>75</v>
      </c>
      <c r="M258" s="4">
        <f t="shared" ref="M258:M321" si="4">L258*K258</f>
        <v>2025</v>
      </c>
    </row>
    <row r="259" spans="1:13" ht="15.75" customHeight="1">
      <c r="A259" s="1" t="s">
        <v>1602</v>
      </c>
      <c r="B259" s="1" t="str">
        <f>"791390624159"</f>
        <v>791390624159</v>
      </c>
      <c r="C259" s="1" t="s">
        <v>1603</v>
      </c>
      <c r="D259" s="2" t="s">
        <v>1598</v>
      </c>
      <c r="E259" s="1" t="s">
        <v>2819</v>
      </c>
      <c r="F259" s="1" t="s">
        <v>1599</v>
      </c>
      <c r="G259" s="1" t="s">
        <v>2219</v>
      </c>
      <c r="H259" s="1" t="s">
        <v>2940</v>
      </c>
      <c r="I259" s="1" t="s">
        <v>2220</v>
      </c>
      <c r="J259" s="1" t="s">
        <v>2815</v>
      </c>
      <c r="K259" s="3">
        <v>47</v>
      </c>
      <c r="L259" s="4">
        <v>75</v>
      </c>
      <c r="M259" s="4">
        <f t="shared" si="4"/>
        <v>3525</v>
      </c>
    </row>
    <row r="260" spans="1:13" ht="15.75" customHeight="1">
      <c r="A260" s="1" t="s">
        <v>1604</v>
      </c>
      <c r="B260" s="1" t="str">
        <f>"791390226025"</f>
        <v>791390226025</v>
      </c>
      <c r="C260" s="1" t="s">
        <v>1605</v>
      </c>
      <c r="D260" s="2" t="s">
        <v>1606</v>
      </c>
      <c r="E260" s="1" t="s">
        <v>2819</v>
      </c>
      <c r="F260" s="1" t="s">
        <v>1607</v>
      </c>
      <c r="G260" s="1" t="s">
        <v>2211</v>
      </c>
      <c r="H260" s="1" t="s">
        <v>1608</v>
      </c>
      <c r="I260" s="1" t="s">
        <v>2220</v>
      </c>
      <c r="J260" s="1" t="s">
        <v>2815</v>
      </c>
      <c r="K260" s="3">
        <v>57</v>
      </c>
      <c r="L260" s="4">
        <v>75</v>
      </c>
      <c r="M260" s="4">
        <f t="shared" si="4"/>
        <v>4275</v>
      </c>
    </row>
    <row r="261" spans="1:13" ht="15.75" customHeight="1">
      <c r="A261" s="1" t="s">
        <v>1609</v>
      </c>
      <c r="B261" s="1" t="str">
        <f>"791390226018"</f>
        <v>791390226018</v>
      </c>
      <c r="C261" s="1" t="s">
        <v>1610</v>
      </c>
      <c r="D261" s="2" t="s">
        <v>1606</v>
      </c>
      <c r="E261" s="1" t="s">
        <v>2819</v>
      </c>
      <c r="F261" s="1" t="s">
        <v>1607</v>
      </c>
      <c r="G261" s="1" t="s">
        <v>2411</v>
      </c>
      <c r="H261" s="1" t="s">
        <v>1608</v>
      </c>
      <c r="I261" s="1" t="s">
        <v>2220</v>
      </c>
      <c r="J261" s="1" t="s">
        <v>2815</v>
      </c>
      <c r="K261" s="3">
        <v>28</v>
      </c>
      <c r="L261" s="4">
        <v>75</v>
      </c>
      <c r="M261" s="4">
        <f t="shared" si="4"/>
        <v>2100</v>
      </c>
    </row>
    <row r="262" spans="1:13" ht="15.75" customHeight="1">
      <c r="A262" s="1" t="s">
        <v>1611</v>
      </c>
      <c r="B262" s="1" t="str">
        <f>"791390226001"</f>
        <v>791390226001</v>
      </c>
      <c r="C262" s="1" t="s">
        <v>1612</v>
      </c>
      <c r="D262" s="2" t="s">
        <v>1606</v>
      </c>
      <c r="E262" s="1" t="s">
        <v>2819</v>
      </c>
      <c r="F262" s="1" t="s">
        <v>1607</v>
      </c>
      <c r="G262" s="1" t="s">
        <v>2219</v>
      </c>
      <c r="H262" s="1" t="s">
        <v>1608</v>
      </c>
      <c r="I262" s="1" t="s">
        <v>2220</v>
      </c>
      <c r="J262" s="1" t="s">
        <v>2815</v>
      </c>
      <c r="K262" s="3">
        <v>24</v>
      </c>
      <c r="L262" s="4">
        <v>75</v>
      </c>
      <c r="M262" s="4">
        <f t="shared" si="4"/>
        <v>1800</v>
      </c>
    </row>
    <row r="263" spans="1:13" ht="15.75" customHeight="1">
      <c r="A263" s="1" t="s">
        <v>1613</v>
      </c>
      <c r="B263" s="1" t="str">
        <f>"791390226087"</f>
        <v>791390226087</v>
      </c>
      <c r="C263" s="1" t="s">
        <v>1614</v>
      </c>
      <c r="D263" s="2" t="s">
        <v>1615</v>
      </c>
      <c r="E263" s="1" t="s">
        <v>2819</v>
      </c>
      <c r="F263" s="1" t="s">
        <v>1616</v>
      </c>
      <c r="G263" s="1" t="s">
        <v>2211</v>
      </c>
      <c r="H263" s="1" t="s">
        <v>1608</v>
      </c>
      <c r="I263" s="1" t="s">
        <v>2220</v>
      </c>
      <c r="J263" s="1" t="s">
        <v>2815</v>
      </c>
      <c r="K263" s="3">
        <v>31</v>
      </c>
      <c r="L263" s="4">
        <v>75</v>
      </c>
      <c r="M263" s="4">
        <f t="shared" si="4"/>
        <v>2325</v>
      </c>
    </row>
    <row r="264" spans="1:13" ht="15.75" customHeight="1">
      <c r="A264" s="1" t="s">
        <v>1604</v>
      </c>
      <c r="B264" s="1" t="str">
        <f>"791390226025"</f>
        <v>791390226025</v>
      </c>
      <c r="C264" s="1" t="s">
        <v>1605</v>
      </c>
      <c r="D264" s="2" t="s">
        <v>1606</v>
      </c>
      <c r="E264" s="1" t="s">
        <v>2819</v>
      </c>
      <c r="F264" s="1" t="s">
        <v>1607</v>
      </c>
      <c r="G264" s="1" t="s">
        <v>2211</v>
      </c>
      <c r="H264" s="1" t="s">
        <v>1608</v>
      </c>
      <c r="I264" s="1" t="s">
        <v>2220</v>
      </c>
      <c r="J264" s="1" t="s">
        <v>2815</v>
      </c>
      <c r="K264" s="3">
        <v>57</v>
      </c>
      <c r="L264" s="4">
        <v>75</v>
      </c>
      <c r="M264" s="4">
        <f t="shared" si="4"/>
        <v>4275</v>
      </c>
    </row>
    <row r="265" spans="1:13" ht="15.75" customHeight="1">
      <c r="A265" s="1" t="s">
        <v>1609</v>
      </c>
      <c r="B265" s="1" t="str">
        <f>"791390226018"</f>
        <v>791390226018</v>
      </c>
      <c r="C265" s="1" t="s">
        <v>1610</v>
      </c>
      <c r="D265" s="2" t="s">
        <v>1606</v>
      </c>
      <c r="E265" s="1" t="s">
        <v>2819</v>
      </c>
      <c r="F265" s="1" t="s">
        <v>1607</v>
      </c>
      <c r="G265" s="1" t="s">
        <v>2411</v>
      </c>
      <c r="H265" s="1" t="s">
        <v>1608</v>
      </c>
      <c r="I265" s="1" t="s">
        <v>2220</v>
      </c>
      <c r="J265" s="1" t="s">
        <v>2815</v>
      </c>
      <c r="K265" s="3">
        <v>28</v>
      </c>
      <c r="L265" s="4">
        <v>75</v>
      </c>
      <c r="M265" s="4">
        <f t="shared" si="4"/>
        <v>2100</v>
      </c>
    </row>
    <row r="266" spans="1:13" ht="15.75" customHeight="1">
      <c r="A266" s="1" t="s">
        <v>1611</v>
      </c>
      <c r="B266" s="1" t="str">
        <f>"791390226001"</f>
        <v>791390226001</v>
      </c>
      <c r="C266" s="1" t="s">
        <v>1612</v>
      </c>
      <c r="D266" s="2" t="s">
        <v>1606</v>
      </c>
      <c r="E266" s="1" t="s">
        <v>2819</v>
      </c>
      <c r="F266" s="1" t="s">
        <v>1607</v>
      </c>
      <c r="G266" s="1" t="s">
        <v>2219</v>
      </c>
      <c r="H266" s="1" t="s">
        <v>1608</v>
      </c>
      <c r="I266" s="1" t="s">
        <v>2220</v>
      </c>
      <c r="J266" s="1" t="s">
        <v>2815</v>
      </c>
      <c r="K266" s="3">
        <v>24</v>
      </c>
      <c r="L266" s="4">
        <v>75</v>
      </c>
      <c r="M266" s="4">
        <f t="shared" si="4"/>
        <v>1800</v>
      </c>
    </row>
    <row r="267" spans="1:13" ht="15.75" customHeight="1">
      <c r="A267" s="1" t="s">
        <v>1617</v>
      </c>
      <c r="B267" s="1" t="str">
        <f>"791390380529"</f>
        <v>791390380529</v>
      </c>
      <c r="C267" s="1" t="s">
        <v>1618</v>
      </c>
      <c r="D267" s="2" t="s">
        <v>1619</v>
      </c>
      <c r="E267" s="1" t="s">
        <v>2819</v>
      </c>
      <c r="F267" s="1" t="s">
        <v>1620</v>
      </c>
      <c r="G267" s="1" t="s">
        <v>2211</v>
      </c>
      <c r="H267" s="1" t="s">
        <v>1621</v>
      </c>
      <c r="I267" s="1" t="s">
        <v>2257</v>
      </c>
      <c r="J267" s="1" t="s">
        <v>2432</v>
      </c>
      <c r="K267" s="3">
        <v>36</v>
      </c>
      <c r="L267" s="4">
        <v>64.989999999999995</v>
      </c>
      <c r="M267" s="4">
        <f t="shared" si="4"/>
        <v>2339.64</v>
      </c>
    </row>
    <row r="268" spans="1:13" ht="15.75" customHeight="1">
      <c r="A268" s="1" t="s">
        <v>1622</v>
      </c>
      <c r="B268" s="1" t="str">
        <f>"791390380512"</f>
        <v>791390380512</v>
      </c>
      <c r="C268" s="1" t="s">
        <v>1623</v>
      </c>
      <c r="D268" s="2" t="s">
        <v>1619</v>
      </c>
      <c r="E268" s="1" t="s">
        <v>2819</v>
      </c>
      <c r="F268" s="1" t="s">
        <v>1620</v>
      </c>
      <c r="G268" s="1" t="s">
        <v>2411</v>
      </c>
      <c r="H268" s="1" t="s">
        <v>1621</v>
      </c>
      <c r="I268" s="1" t="s">
        <v>2257</v>
      </c>
      <c r="J268" s="1" t="s">
        <v>2432</v>
      </c>
      <c r="K268" s="3">
        <v>83</v>
      </c>
      <c r="L268" s="4">
        <v>64.989999999999995</v>
      </c>
      <c r="M268" s="4">
        <f t="shared" si="4"/>
        <v>5394.1699999999992</v>
      </c>
    </row>
    <row r="269" spans="1:13" ht="15.75" customHeight="1">
      <c r="A269" s="1" t="s">
        <v>1624</v>
      </c>
      <c r="B269" s="1" t="str">
        <f>"791390380505"</f>
        <v>791390380505</v>
      </c>
      <c r="C269" s="1" t="s">
        <v>1625</v>
      </c>
      <c r="D269" s="2" t="s">
        <v>1619</v>
      </c>
      <c r="E269" s="1" t="s">
        <v>2819</v>
      </c>
      <c r="F269" s="1" t="s">
        <v>1620</v>
      </c>
      <c r="G269" s="1" t="s">
        <v>2219</v>
      </c>
      <c r="H269" s="1" t="s">
        <v>1621</v>
      </c>
      <c r="I269" s="1" t="s">
        <v>2257</v>
      </c>
      <c r="J269" s="1" t="s">
        <v>2432</v>
      </c>
      <c r="K269" s="3">
        <v>66</v>
      </c>
      <c r="L269" s="4">
        <v>64.989999999999995</v>
      </c>
      <c r="M269" s="4">
        <f t="shared" si="4"/>
        <v>4289.3399999999992</v>
      </c>
    </row>
    <row r="270" spans="1:13" ht="15.75" customHeight="1">
      <c r="A270" s="1" t="s">
        <v>1626</v>
      </c>
      <c r="B270" s="1" t="str">
        <f>"791390406441"</f>
        <v>791390406441</v>
      </c>
      <c r="C270" s="1" t="s">
        <v>1627</v>
      </c>
      <c r="D270" s="2" t="s">
        <v>1628</v>
      </c>
      <c r="E270" s="1" t="s">
        <v>2819</v>
      </c>
      <c r="F270" s="1" t="s">
        <v>1629</v>
      </c>
      <c r="G270" s="1" t="s">
        <v>2211</v>
      </c>
      <c r="H270" s="1" t="s">
        <v>1630</v>
      </c>
      <c r="I270" s="1" t="s">
        <v>2257</v>
      </c>
      <c r="J270" s="1" t="s">
        <v>2432</v>
      </c>
      <c r="K270" s="3">
        <v>67</v>
      </c>
      <c r="L270" s="4">
        <v>64.989999999999995</v>
      </c>
      <c r="M270" s="4">
        <f t="shared" si="4"/>
        <v>4354.33</v>
      </c>
    </row>
    <row r="271" spans="1:13" ht="15.75" customHeight="1">
      <c r="A271" s="1" t="s">
        <v>1631</v>
      </c>
      <c r="B271" s="1" t="str">
        <f>"791390406434"</f>
        <v>791390406434</v>
      </c>
      <c r="C271" s="1" t="s">
        <v>1632</v>
      </c>
      <c r="D271" s="2" t="s">
        <v>1628</v>
      </c>
      <c r="E271" s="1" t="s">
        <v>2819</v>
      </c>
      <c r="F271" s="1" t="s">
        <v>1629</v>
      </c>
      <c r="G271" s="1" t="s">
        <v>2411</v>
      </c>
      <c r="H271" s="1" t="s">
        <v>1630</v>
      </c>
      <c r="I271" s="1" t="s">
        <v>2257</v>
      </c>
      <c r="J271" s="1" t="s">
        <v>2432</v>
      </c>
      <c r="K271" s="3">
        <v>79</v>
      </c>
      <c r="L271" s="4">
        <v>64.989999999999995</v>
      </c>
      <c r="M271" s="4">
        <f t="shared" si="4"/>
        <v>5134.21</v>
      </c>
    </row>
    <row r="272" spans="1:13" ht="15.75" customHeight="1">
      <c r="A272" s="1" t="s">
        <v>1633</v>
      </c>
      <c r="B272" s="1" t="str">
        <f>"791390406427"</f>
        <v>791390406427</v>
      </c>
      <c r="C272" s="1" t="s">
        <v>1634</v>
      </c>
      <c r="D272" s="2" t="s">
        <v>1628</v>
      </c>
      <c r="E272" s="1" t="s">
        <v>2819</v>
      </c>
      <c r="F272" s="1" t="s">
        <v>1629</v>
      </c>
      <c r="G272" s="1" t="s">
        <v>2219</v>
      </c>
      <c r="H272" s="1" t="s">
        <v>1630</v>
      </c>
      <c r="I272" s="1" t="s">
        <v>2257</v>
      </c>
      <c r="J272" s="1" t="s">
        <v>2432</v>
      </c>
      <c r="K272" s="3">
        <v>44</v>
      </c>
      <c r="L272" s="4">
        <v>64.989999999999995</v>
      </c>
      <c r="M272" s="4">
        <f t="shared" si="4"/>
        <v>2859.56</v>
      </c>
    </row>
    <row r="273" spans="1:13" ht="15.75" customHeight="1">
      <c r="A273" s="1" t="s">
        <v>1635</v>
      </c>
      <c r="B273" s="1" t="str">
        <f>"791390572368"</f>
        <v>791390572368</v>
      </c>
      <c r="C273" s="1" t="s">
        <v>1636</v>
      </c>
      <c r="D273" s="2" t="s">
        <v>1637</v>
      </c>
      <c r="E273" s="1" t="s">
        <v>2819</v>
      </c>
      <c r="F273" s="1" t="s">
        <v>1638</v>
      </c>
      <c r="G273" s="1" t="s">
        <v>2211</v>
      </c>
      <c r="H273" s="1" t="s">
        <v>1639</v>
      </c>
      <c r="I273" s="1" t="s">
        <v>2220</v>
      </c>
      <c r="J273" s="1" t="s">
        <v>1640</v>
      </c>
      <c r="K273" s="3">
        <v>35</v>
      </c>
      <c r="L273" s="4">
        <v>65</v>
      </c>
      <c r="M273" s="4">
        <f t="shared" si="4"/>
        <v>2275</v>
      </c>
    </row>
    <row r="274" spans="1:13" ht="15.75" customHeight="1">
      <c r="A274" s="1" t="s">
        <v>1641</v>
      </c>
      <c r="B274" s="1" t="str">
        <f>"791390572375"</f>
        <v>791390572375</v>
      </c>
      <c r="C274" s="1" t="s">
        <v>1642</v>
      </c>
      <c r="D274" s="2" t="s">
        <v>1637</v>
      </c>
      <c r="E274" s="1" t="s">
        <v>2819</v>
      </c>
      <c r="F274" s="1" t="s">
        <v>1638</v>
      </c>
      <c r="G274" s="1" t="s">
        <v>2418</v>
      </c>
      <c r="H274" s="1" t="s">
        <v>1639</v>
      </c>
      <c r="I274" s="1" t="s">
        <v>2220</v>
      </c>
      <c r="J274" s="1" t="s">
        <v>1640</v>
      </c>
      <c r="K274" s="3">
        <v>92</v>
      </c>
      <c r="L274" s="4">
        <v>65</v>
      </c>
      <c r="M274" s="4">
        <f t="shared" si="4"/>
        <v>5980</v>
      </c>
    </row>
    <row r="275" spans="1:13" ht="15.75" customHeight="1">
      <c r="A275" s="1" t="s">
        <v>1643</v>
      </c>
      <c r="B275" s="1" t="str">
        <f>"791390030370"</f>
        <v>791390030370</v>
      </c>
      <c r="C275" s="1" t="s">
        <v>1644</v>
      </c>
      <c r="D275" s="2" t="s">
        <v>1645</v>
      </c>
      <c r="E275" s="1" t="s">
        <v>2819</v>
      </c>
      <c r="F275" s="1" t="s">
        <v>1646</v>
      </c>
      <c r="G275" s="1" t="s">
        <v>2211</v>
      </c>
      <c r="H275" s="1" t="s">
        <v>1639</v>
      </c>
      <c r="I275" s="1" t="s">
        <v>2220</v>
      </c>
      <c r="J275" s="1" t="s">
        <v>1640</v>
      </c>
      <c r="K275" s="3">
        <v>85</v>
      </c>
      <c r="L275" s="4">
        <v>65</v>
      </c>
      <c r="M275" s="4">
        <f t="shared" si="4"/>
        <v>5525</v>
      </c>
    </row>
    <row r="276" spans="1:13" ht="15.75" customHeight="1">
      <c r="A276" s="1" t="s">
        <v>1647</v>
      </c>
      <c r="B276" s="1" t="str">
        <f>"791390742822"</f>
        <v>791390742822</v>
      </c>
      <c r="C276" s="1" t="s">
        <v>1648</v>
      </c>
      <c r="D276" s="2" t="s">
        <v>1649</v>
      </c>
      <c r="E276" s="1" t="s">
        <v>2819</v>
      </c>
      <c r="F276" s="1" t="s">
        <v>1650</v>
      </c>
      <c r="G276" s="1" t="s">
        <v>2211</v>
      </c>
      <c r="H276" s="1" t="s">
        <v>1651</v>
      </c>
      <c r="I276" s="1" t="s">
        <v>2220</v>
      </c>
      <c r="J276" s="1" t="s">
        <v>2221</v>
      </c>
      <c r="K276" s="3">
        <v>148</v>
      </c>
      <c r="L276" s="4">
        <v>60</v>
      </c>
      <c r="M276" s="4">
        <f t="shared" si="4"/>
        <v>8880</v>
      </c>
    </row>
    <row r="277" spans="1:13" ht="15.75" customHeight="1">
      <c r="A277" s="1" t="s">
        <v>1652</v>
      </c>
      <c r="B277" s="1" t="str">
        <f>"791390742815"</f>
        <v>791390742815</v>
      </c>
      <c r="C277" s="1" t="s">
        <v>1653</v>
      </c>
      <c r="D277" s="2" t="s">
        <v>1649</v>
      </c>
      <c r="E277" s="1" t="s">
        <v>2819</v>
      </c>
      <c r="F277" s="1" t="s">
        <v>1650</v>
      </c>
      <c r="G277" s="1" t="s">
        <v>2411</v>
      </c>
      <c r="H277" s="1" t="s">
        <v>1651</v>
      </c>
      <c r="I277" s="1" t="s">
        <v>2220</v>
      </c>
      <c r="J277" s="1" t="s">
        <v>2221</v>
      </c>
      <c r="K277" s="3">
        <v>40</v>
      </c>
      <c r="L277" s="4">
        <v>60</v>
      </c>
      <c r="M277" s="4">
        <f t="shared" si="4"/>
        <v>2400</v>
      </c>
    </row>
    <row r="278" spans="1:13" ht="15.75" customHeight="1">
      <c r="A278" s="1" t="s">
        <v>1654</v>
      </c>
      <c r="B278" s="1" t="str">
        <f>"791390742808"</f>
        <v>791390742808</v>
      </c>
      <c r="C278" s="1" t="s">
        <v>1655</v>
      </c>
      <c r="D278" s="2" t="s">
        <v>1649</v>
      </c>
      <c r="E278" s="1" t="s">
        <v>2819</v>
      </c>
      <c r="F278" s="1" t="s">
        <v>1650</v>
      </c>
      <c r="G278" s="1" t="s">
        <v>2219</v>
      </c>
      <c r="H278" s="1" t="s">
        <v>1651</v>
      </c>
      <c r="I278" s="1" t="s">
        <v>2220</v>
      </c>
      <c r="J278" s="1" t="s">
        <v>2221</v>
      </c>
      <c r="K278" s="3">
        <v>43</v>
      </c>
      <c r="L278" s="4">
        <v>60</v>
      </c>
      <c r="M278" s="4">
        <f t="shared" si="4"/>
        <v>2580</v>
      </c>
    </row>
    <row r="279" spans="1:13" ht="15.75" customHeight="1">
      <c r="A279" s="1" t="s">
        <v>1656</v>
      </c>
      <c r="B279" s="1" t="str">
        <f>"791390742839"</f>
        <v>791390742839</v>
      </c>
      <c r="C279" s="1" t="s">
        <v>1657</v>
      </c>
      <c r="D279" s="2" t="s">
        <v>1649</v>
      </c>
      <c r="E279" s="1" t="s">
        <v>2819</v>
      </c>
      <c r="F279" s="1" t="s">
        <v>1650</v>
      </c>
      <c r="G279" s="1" t="s">
        <v>2418</v>
      </c>
      <c r="H279" s="1" t="s">
        <v>1651</v>
      </c>
      <c r="I279" s="1" t="s">
        <v>2220</v>
      </c>
      <c r="J279" s="1" t="s">
        <v>2221</v>
      </c>
      <c r="K279" s="3">
        <v>42</v>
      </c>
      <c r="L279" s="4">
        <v>60</v>
      </c>
      <c r="M279" s="4">
        <f t="shared" si="4"/>
        <v>2520</v>
      </c>
    </row>
    <row r="280" spans="1:13" ht="15.75" customHeight="1">
      <c r="A280" s="1" t="s">
        <v>1658</v>
      </c>
      <c r="B280" s="1" t="str">
        <f>"791390521366"</f>
        <v>791390521366</v>
      </c>
      <c r="C280" s="1" t="s">
        <v>1659</v>
      </c>
      <c r="D280" s="2" t="s">
        <v>1660</v>
      </c>
      <c r="E280" s="1" t="s">
        <v>2819</v>
      </c>
      <c r="F280" s="1" t="s">
        <v>1661</v>
      </c>
      <c r="G280" s="1" t="s">
        <v>2211</v>
      </c>
      <c r="H280" s="1" t="s">
        <v>1662</v>
      </c>
      <c r="I280" s="1" t="s">
        <v>2257</v>
      </c>
      <c r="J280" s="1" t="s">
        <v>1663</v>
      </c>
      <c r="K280" s="3">
        <v>181</v>
      </c>
      <c r="L280" s="4">
        <v>65</v>
      </c>
      <c r="M280" s="4">
        <f t="shared" si="4"/>
        <v>11765</v>
      </c>
    </row>
    <row r="281" spans="1:13" ht="15.75" customHeight="1">
      <c r="A281" s="1" t="s">
        <v>1664</v>
      </c>
      <c r="B281" s="1" t="str">
        <f>"791390521304"</f>
        <v>791390521304</v>
      </c>
      <c r="C281" s="1" t="s">
        <v>1665</v>
      </c>
      <c r="D281" s="2" t="s">
        <v>1660</v>
      </c>
      <c r="E281" s="1" t="s">
        <v>2819</v>
      </c>
      <c r="F281" s="1" t="s">
        <v>1661</v>
      </c>
      <c r="G281" s="1" t="s">
        <v>2411</v>
      </c>
      <c r="H281" s="1" t="s">
        <v>1662</v>
      </c>
      <c r="I281" s="1" t="s">
        <v>2257</v>
      </c>
      <c r="J281" s="1" t="s">
        <v>1663</v>
      </c>
      <c r="K281" s="3">
        <v>188</v>
      </c>
      <c r="L281" s="4">
        <v>65</v>
      </c>
      <c r="M281" s="4">
        <f t="shared" si="4"/>
        <v>12220</v>
      </c>
    </row>
    <row r="282" spans="1:13" ht="15.75" customHeight="1">
      <c r="A282" s="1" t="s">
        <v>1666</v>
      </c>
      <c r="B282" s="1" t="str">
        <f>"791390521298"</f>
        <v>791390521298</v>
      </c>
      <c r="C282" s="1" t="s">
        <v>1667</v>
      </c>
      <c r="D282" s="2" t="s">
        <v>1660</v>
      </c>
      <c r="E282" s="1" t="s">
        <v>2819</v>
      </c>
      <c r="F282" s="1" t="s">
        <v>1661</v>
      </c>
      <c r="G282" s="1" t="s">
        <v>2219</v>
      </c>
      <c r="H282" s="1" t="s">
        <v>1662</v>
      </c>
      <c r="I282" s="1" t="s">
        <v>2257</v>
      </c>
      <c r="J282" s="1" t="s">
        <v>1663</v>
      </c>
      <c r="K282" s="3">
        <v>79</v>
      </c>
      <c r="L282" s="4">
        <v>65</v>
      </c>
      <c r="M282" s="4">
        <f t="shared" si="4"/>
        <v>5135</v>
      </c>
    </row>
    <row r="283" spans="1:13" ht="15.75" customHeight="1">
      <c r="A283" s="1" t="s">
        <v>1668</v>
      </c>
      <c r="B283" s="1" t="str">
        <f>"791390521373"</f>
        <v>791390521373</v>
      </c>
      <c r="C283" s="1" t="s">
        <v>1669</v>
      </c>
      <c r="D283" s="2" t="s">
        <v>1660</v>
      </c>
      <c r="E283" s="1" t="s">
        <v>2819</v>
      </c>
      <c r="F283" s="1" t="s">
        <v>1661</v>
      </c>
      <c r="G283" s="1" t="s">
        <v>2418</v>
      </c>
      <c r="H283" s="1" t="s">
        <v>1662</v>
      </c>
      <c r="I283" s="1" t="s">
        <v>2257</v>
      </c>
      <c r="J283" s="1" t="s">
        <v>1663</v>
      </c>
      <c r="K283" s="3">
        <v>66</v>
      </c>
      <c r="L283" s="4">
        <v>65</v>
      </c>
      <c r="M283" s="4">
        <f t="shared" si="4"/>
        <v>4290</v>
      </c>
    </row>
    <row r="284" spans="1:13" ht="15.75" customHeight="1">
      <c r="A284" s="1" t="s">
        <v>1670</v>
      </c>
      <c r="B284" s="1" t="str">
        <f>"791390213506"</f>
        <v>791390213506</v>
      </c>
      <c r="C284" s="1" t="s">
        <v>1671</v>
      </c>
      <c r="D284" s="2" t="s">
        <v>1672</v>
      </c>
      <c r="E284" s="1" t="s">
        <v>2819</v>
      </c>
      <c r="F284" s="1" t="s">
        <v>1673</v>
      </c>
      <c r="G284" s="1" t="s">
        <v>2211</v>
      </c>
      <c r="H284" s="1" t="s">
        <v>1674</v>
      </c>
      <c r="I284" s="1" t="s">
        <v>2257</v>
      </c>
      <c r="J284" s="1" t="s">
        <v>2793</v>
      </c>
      <c r="K284" s="3">
        <v>400</v>
      </c>
      <c r="L284" s="4">
        <v>65</v>
      </c>
      <c r="M284" s="4">
        <f t="shared" si="4"/>
        <v>26000</v>
      </c>
    </row>
    <row r="285" spans="1:13" ht="15.75" customHeight="1">
      <c r="A285" s="1" t="s">
        <v>1675</v>
      </c>
      <c r="B285" s="1" t="str">
        <f>"791390213490"</f>
        <v>791390213490</v>
      </c>
      <c r="C285" s="1" t="s">
        <v>1676</v>
      </c>
      <c r="D285" s="2" t="s">
        <v>1672</v>
      </c>
      <c r="E285" s="1" t="s">
        <v>2819</v>
      </c>
      <c r="F285" s="1" t="s">
        <v>1673</v>
      </c>
      <c r="G285" s="1" t="s">
        <v>2411</v>
      </c>
      <c r="H285" s="1" t="s">
        <v>1674</v>
      </c>
      <c r="I285" s="1" t="s">
        <v>2257</v>
      </c>
      <c r="J285" s="1" t="s">
        <v>2793</v>
      </c>
      <c r="K285" s="3">
        <v>461</v>
      </c>
      <c r="L285" s="4">
        <v>65</v>
      </c>
      <c r="M285" s="4">
        <f t="shared" si="4"/>
        <v>29965</v>
      </c>
    </row>
    <row r="286" spans="1:13" ht="15.75" customHeight="1">
      <c r="A286" s="1" t="s">
        <v>1677</v>
      </c>
      <c r="B286" s="1" t="str">
        <f>"791390213483"</f>
        <v>791390213483</v>
      </c>
      <c r="C286" s="1" t="s">
        <v>1678</v>
      </c>
      <c r="D286" s="2" t="s">
        <v>1672</v>
      </c>
      <c r="E286" s="1" t="s">
        <v>2819</v>
      </c>
      <c r="F286" s="1" t="s">
        <v>1673</v>
      </c>
      <c r="G286" s="1" t="s">
        <v>2219</v>
      </c>
      <c r="H286" s="1" t="s">
        <v>1674</v>
      </c>
      <c r="I286" s="1" t="s">
        <v>2257</v>
      </c>
      <c r="J286" s="1" t="s">
        <v>2793</v>
      </c>
      <c r="K286" s="3">
        <v>202</v>
      </c>
      <c r="L286" s="4">
        <v>65</v>
      </c>
      <c r="M286" s="4">
        <f t="shared" si="4"/>
        <v>13130</v>
      </c>
    </row>
    <row r="287" spans="1:13" ht="15.75" customHeight="1">
      <c r="A287" s="1" t="s">
        <v>1679</v>
      </c>
      <c r="B287" s="1" t="str">
        <f>"791390213513"</f>
        <v>791390213513</v>
      </c>
      <c r="C287" s="1" t="s">
        <v>1680</v>
      </c>
      <c r="D287" s="2" t="s">
        <v>1672</v>
      </c>
      <c r="E287" s="1" t="s">
        <v>2819</v>
      </c>
      <c r="F287" s="1" t="s">
        <v>1673</v>
      </c>
      <c r="G287" s="1" t="s">
        <v>2418</v>
      </c>
      <c r="H287" s="1" t="s">
        <v>1674</v>
      </c>
      <c r="I287" s="1" t="s">
        <v>2257</v>
      </c>
      <c r="J287" s="1" t="s">
        <v>2793</v>
      </c>
      <c r="K287" s="3">
        <v>123</v>
      </c>
      <c r="L287" s="4">
        <v>65</v>
      </c>
      <c r="M287" s="4">
        <f t="shared" si="4"/>
        <v>7995</v>
      </c>
    </row>
    <row r="288" spans="1:13" ht="15.75" customHeight="1">
      <c r="A288" s="1" t="s">
        <v>1681</v>
      </c>
      <c r="B288" s="1" t="str">
        <f>"791390213254"</f>
        <v>791390213254</v>
      </c>
      <c r="C288" s="1" t="s">
        <v>1682</v>
      </c>
      <c r="D288" s="2" t="s">
        <v>1683</v>
      </c>
      <c r="E288" s="1" t="s">
        <v>2819</v>
      </c>
      <c r="F288" s="1" t="s">
        <v>1684</v>
      </c>
      <c r="G288" s="1" t="s">
        <v>2411</v>
      </c>
      <c r="H288" s="1" t="s">
        <v>1685</v>
      </c>
      <c r="I288" s="1" t="s">
        <v>2257</v>
      </c>
      <c r="J288" s="1" t="s">
        <v>2793</v>
      </c>
      <c r="K288" s="3">
        <v>49</v>
      </c>
      <c r="L288" s="4">
        <v>65</v>
      </c>
      <c r="M288" s="4">
        <f t="shared" si="4"/>
        <v>3185</v>
      </c>
    </row>
    <row r="289" spans="1:13" ht="15.75" customHeight="1">
      <c r="A289" s="1" t="s">
        <v>1686</v>
      </c>
      <c r="B289" s="1" t="str">
        <f>"791390520901"</f>
        <v>791390520901</v>
      </c>
      <c r="C289" s="1" t="s">
        <v>1687</v>
      </c>
      <c r="D289" s="2" t="s">
        <v>1688</v>
      </c>
      <c r="E289" s="1" t="s">
        <v>2819</v>
      </c>
      <c r="F289" s="1" t="s">
        <v>1689</v>
      </c>
      <c r="G289" s="1" t="s">
        <v>2211</v>
      </c>
      <c r="H289" s="1" t="s">
        <v>1690</v>
      </c>
      <c r="I289" s="1" t="s">
        <v>2257</v>
      </c>
      <c r="J289" s="1" t="s">
        <v>2432</v>
      </c>
      <c r="K289" s="3">
        <v>319</v>
      </c>
      <c r="L289" s="4">
        <v>60</v>
      </c>
      <c r="M289" s="4">
        <f t="shared" si="4"/>
        <v>19140</v>
      </c>
    </row>
    <row r="290" spans="1:13" ht="15.75" customHeight="1">
      <c r="A290" s="1" t="s">
        <v>1691</v>
      </c>
      <c r="B290" s="1" t="str">
        <f>"791390520895"</f>
        <v>791390520895</v>
      </c>
      <c r="C290" s="1" t="s">
        <v>1692</v>
      </c>
      <c r="D290" s="2" t="s">
        <v>1688</v>
      </c>
      <c r="E290" s="1" t="s">
        <v>2819</v>
      </c>
      <c r="F290" s="1" t="s">
        <v>1689</v>
      </c>
      <c r="G290" s="1" t="s">
        <v>2411</v>
      </c>
      <c r="H290" s="1" t="s">
        <v>1690</v>
      </c>
      <c r="I290" s="1" t="s">
        <v>2257</v>
      </c>
      <c r="J290" s="1" t="s">
        <v>2432</v>
      </c>
      <c r="K290" s="3">
        <v>294</v>
      </c>
      <c r="L290" s="4">
        <v>60</v>
      </c>
      <c r="M290" s="4">
        <f t="shared" si="4"/>
        <v>17640</v>
      </c>
    </row>
    <row r="291" spans="1:13" ht="15.75" customHeight="1">
      <c r="A291" s="1" t="s">
        <v>1693</v>
      </c>
      <c r="B291" s="1" t="str">
        <f>"791390520888"</f>
        <v>791390520888</v>
      </c>
      <c r="C291" s="1" t="s">
        <v>1694</v>
      </c>
      <c r="D291" s="2" t="s">
        <v>1688</v>
      </c>
      <c r="E291" s="1" t="s">
        <v>2819</v>
      </c>
      <c r="F291" s="1" t="s">
        <v>1689</v>
      </c>
      <c r="G291" s="1" t="s">
        <v>2219</v>
      </c>
      <c r="H291" s="1" t="s">
        <v>1690</v>
      </c>
      <c r="I291" s="1" t="s">
        <v>2257</v>
      </c>
      <c r="J291" s="1" t="s">
        <v>2432</v>
      </c>
      <c r="K291" s="3">
        <v>213</v>
      </c>
      <c r="L291" s="4">
        <v>60</v>
      </c>
      <c r="M291" s="4">
        <f t="shared" si="4"/>
        <v>12780</v>
      </c>
    </row>
    <row r="292" spans="1:13" ht="15.75" customHeight="1">
      <c r="A292" s="1" t="s">
        <v>1695</v>
      </c>
      <c r="B292" s="1" t="str">
        <f>"791390520918"</f>
        <v>791390520918</v>
      </c>
      <c r="C292" s="1" t="s">
        <v>1696</v>
      </c>
      <c r="D292" s="2" t="s">
        <v>1688</v>
      </c>
      <c r="E292" s="1" t="s">
        <v>2819</v>
      </c>
      <c r="F292" s="1" t="s">
        <v>1689</v>
      </c>
      <c r="G292" s="1" t="s">
        <v>2418</v>
      </c>
      <c r="H292" s="1" t="s">
        <v>1690</v>
      </c>
      <c r="I292" s="1" t="s">
        <v>2257</v>
      </c>
      <c r="J292" s="1" t="s">
        <v>2432</v>
      </c>
      <c r="K292" s="3">
        <v>24</v>
      </c>
      <c r="L292" s="4">
        <v>60</v>
      </c>
      <c r="M292" s="4">
        <f t="shared" si="4"/>
        <v>1440</v>
      </c>
    </row>
    <row r="293" spans="1:13" ht="15.75" customHeight="1">
      <c r="A293" s="1" t="s">
        <v>1697</v>
      </c>
      <c r="B293" s="1" t="str">
        <f>"791390520840"</f>
        <v>791390520840</v>
      </c>
      <c r="C293" s="1" t="s">
        <v>1698</v>
      </c>
      <c r="D293" s="2" t="s">
        <v>1699</v>
      </c>
      <c r="E293" s="1" t="s">
        <v>2819</v>
      </c>
      <c r="F293" s="1" t="s">
        <v>1700</v>
      </c>
      <c r="G293" s="1" t="s">
        <v>2211</v>
      </c>
      <c r="H293" s="1" t="s">
        <v>1701</v>
      </c>
      <c r="I293" s="1" t="s">
        <v>2257</v>
      </c>
      <c r="J293" s="1" t="s">
        <v>2432</v>
      </c>
      <c r="K293" s="3">
        <v>311</v>
      </c>
      <c r="L293" s="4">
        <v>60</v>
      </c>
      <c r="M293" s="4">
        <f t="shared" si="4"/>
        <v>18660</v>
      </c>
    </row>
    <row r="294" spans="1:13" ht="15.75" customHeight="1">
      <c r="A294" s="1" t="s">
        <v>1702</v>
      </c>
      <c r="B294" s="1" t="str">
        <f>"791390520833"</f>
        <v>791390520833</v>
      </c>
      <c r="C294" s="1" t="s">
        <v>1703</v>
      </c>
      <c r="D294" s="2" t="s">
        <v>1699</v>
      </c>
      <c r="E294" s="1" t="s">
        <v>2819</v>
      </c>
      <c r="F294" s="1" t="s">
        <v>1700</v>
      </c>
      <c r="G294" s="1" t="s">
        <v>2411</v>
      </c>
      <c r="H294" s="1" t="s">
        <v>1701</v>
      </c>
      <c r="I294" s="1" t="s">
        <v>2257</v>
      </c>
      <c r="J294" s="1" t="s">
        <v>2432</v>
      </c>
      <c r="K294" s="3">
        <v>337</v>
      </c>
      <c r="L294" s="4">
        <v>60</v>
      </c>
      <c r="M294" s="4">
        <f t="shared" si="4"/>
        <v>20220</v>
      </c>
    </row>
    <row r="295" spans="1:13" ht="15.75" customHeight="1">
      <c r="A295" s="1" t="s">
        <v>1704</v>
      </c>
      <c r="B295" s="1" t="str">
        <f>"791390520826"</f>
        <v>791390520826</v>
      </c>
      <c r="C295" s="1" t="s">
        <v>1705</v>
      </c>
      <c r="D295" s="2" t="s">
        <v>1699</v>
      </c>
      <c r="E295" s="1" t="s">
        <v>2819</v>
      </c>
      <c r="F295" s="1" t="s">
        <v>1700</v>
      </c>
      <c r="G295" s="1" t="s">
        <v>2219</v>
      </c>
      <c r="H295" s="1" t="s">
        <v>1701</v>
      </c>
      <c r="I295" s="1" t="s">
        <v>2257</v>
      </c>
      <c r="J295" s="1" t="s">
        <v>2432</v>
      </c>
      <c r="K295" s="3">
        <v>199</v>
      </c>
      <c r="L295" s="4">
        <v>60</v>
      </c>
      <c r="M295" s="4">
        <f t="shared" si="4"/>
        <v>11940</v>
      </c>
    </row>
    <row r="296" spans="1:13" ht="15.75" customHeight="1">
      <c r="A296" s="1" t="s">
        <v>1706</v>
      </c>
      <c r="B296" s="1" t="str">
        <f>"791390520857"</f>
        <v>791390520857</v>
      </c>
      <c r="C296" s="1" t="s">
        <v>1707</v>
      </c>
      <c r="D296" s="2" t="s">
        <v>1699</v>
      </c>
      <c r="E296" s="1" t="s">
        <v>2819</v>
      </c>
      <c r="F296" s="1" t="s">
        <v>1700</v>
      </c>
      <c r="G296" s="1" t="s">
        <v>2418</v>
      </c>
      <c r="H296" s="1" t="s">
        <v>1701</v>
      </c>
      <c r="I296" s="1" t="s">
        <v>2257</v>
      </c>
      <c r="J296" s="1" t="s">
        <v>2432</v>
      </c>
      <c r="K296" s="3">
        <v>41</v>
      </c>
      <c r="L296" s="4">
        <v>60</v>
      </c>
      <c r="M296" s="4">
        <f t="shared" si="4"/>
        <v>2460</v>
      </c>
    </row>
    <row r="297" spans="1:13" ht="15.75" customHeight="1">
      <c r="A297" s="1" t="s">
        <v>1708</v>
      </c>
      <c r="B297" s="1" t="str">
        <f>"791390449882"</f>
        <v>791390449882</v>
      </c>
      <c r="C297" s="1" t="s">
        <v>1709</v>
      </c>
      <c r="D297" s="2" t="s">
        <v>1710</v>
      </c>
      <c r="E297" s="1" t="s">
        <v>2819</v>
      </c>
      <c r="F297" s="1" t="s">
        <v>1711</v>
      </c>
      <c r="G297" s="1" t="s">
        <v>2411</v>
      </c>
      <c r="H297" s="1" t="s">
        <v>1712</v>
      </c>
      <c r="I297" s="1" t="s">
        <v>2257</v>
      </c>
      <c r="J297" s="1" t="s">
        <v>2827</v>
      </c>
      <c r="K297" s="3">
        <v>7</v>
      </c>
      <c r="L297" s="4">
        <v>60</v>
      </c>
      <c r="M297" s="4">
        <f t="shared" si="4"/>
        <v>420</v>
      </c>
    </row>
    <row r="298" spans="1:13" ht="15.75" customHeight="1">
      <c r="A298" s="1" t="s">
        <v>1713</v>
      </c>
      <c r="B298" s="1" t="str">
        <f>"791390449875"</f>
        <v>791390449875</v>
      </c>
      <c r="C298" s="1" t="s">
        <v>1714</v>
      </c>
      <c r="D298" s="2" t="s">
        <v>1710</v>
      </c>
      <c r="E298" s="1" t="s">
        <v>2819</v>
      </c>
      <c r="F298" s="1" t="s">
        <v>1711</v>
      </c>
      <c r="G298" s="1" t="s">
        <v>2219</v>
      </c>
      <c r="H298" s="1" t="s">
        <v>1712</v>
      </c>
      <c r="I298" s="1" t="s">
        <v>2257</v>
      </c>
      <c r="J298" s="1" t="s">
        <v>2827</v>
      </c>
      <c r="K298" s="3">
        <v>52</v>
      </c>
      <c r="L298" s="4">
        <v>60</v>
      </c>
      <c r="M298" s="4">
        <f t="shared" si="4"/>
        <v>3120</v>
      </c>
    </row>
    <row r="299" spans="1:13" ht="15.75" customHeight="1">
      <c r="A299" s="1" t="s">
        <v>1715</v>
      </c>
      <c r="B299" s="1" t="str">
        <f>"791390449936"</f>
        <v>791390449936</v>
      </c>
      <c r="C299" s="1" t="s">
        <v>1716</v>
      </c>
      <c r="D299" s="2" t="s">
        <v>1717</v>
      </c>
      <c r="E299" s="1" t="s">
        <v>2819</v>
      </c>
      <c r="F299" s="1" t="s">
        <v>1718</v>
      </c>
      <c r="G299" s="1" t="s">
        <v>2219</v>
      </c>
      <c r="H299" s="1" t="s">
        <v>1712</v>
      </c>
      <c r="I299" s="1" t="s">
        <v>2257</v>
      </c>
      <c r="J299" s="1" t="s">
        <v>2827</v>
      </c>
      <c r="K299" s="3">
        <v>36</v>
      </c>
      <c r="L299" s="4">
        <v>60</v>
      </c>
      <c r="M299" s="4">
        <f t="shared" si="4"/>
        <v>2160</v>
      </c>
    </row>
    <row r="300" spans="1:13" ht="15.75" customHeight="1">
      <c r="A300" s="1" t="s">
        <v>1719</v>
      </c>
      <c r="B300" s="1" t="str">
        <f>"791390611265"</f>
        <v>791390611265</v>
      </c>
      <c r="C300" s="1" t="s">
        <v>1720</v>
      </c>
      <c r="D300" s="2" t="s">
        <v>1721</v>
      </c>
      <c r="E300" s="1" t="s">
        <v>2819</v>
      </c>
      <c r="F300" s="1" t="s">
        <v>1722</v>
      </c>
      <c r="G300" s="1" t="s">
        <v>2211</v>
      </c>
      <c r="H300" s="1" t="s">
        <v>1723</v>
      </c>
      <c r="I300" s="1" t="s">
        <v>2257</v>
      </c>
      <c r="J300" s="1" t="s">
        <v>2432</v>
      </c>
      <c r="K300" s="3">
        <v>175</v>
      </c>
      <c r="L300" s="4">
        <v>60</v>
      </c>
      <c r="M300" s="4">
        <f t="shared" si="4"/>
        <v>10500</v>
      </c>
    </row>
    <row r="301" spans="1:13" ht="15.75" customHeight="1">
      <c r="A301" s="1" t="s">
        <v>1724</v>
      </c>
      <c r="B301" s="1" t="str">
        <f>"791390611258"</f>
        <v>791390611258</v>
      </c>
      <c r="C301" s="1" t="s">
        <v>1725</v>
      </c>
      <c r="D301" s="2" t="s">
        <v>1721</v>
      </c>
      <c r="E301" s="1" t="s">
        <v>2819</v>
      </c>
      <c r="F301" s="1" t="s">
        <v>1722</v>
      </c>
      <c r="G301" s="1" t="s">
        <v>2411</v>
      </c>
      <c r="H301" s="1" t="s">
        <v>1723</v>
      </c>
      <c r="I301" s="1" t="s">
        <v>2257</v>
      </c>
      <c r="J301" s="1" t="s">
        <v>2432</v>
      </c>
      <c r="K301" s="3">
        <v>221</v>
      </c>
      <c r="L301" s="4">
        <v>60</v>
      </c>
      <c r="M301" s="4">
        <f t="shared" si="4"/>
        <v>13260</v>
      </c>
    </row>
    <row r="302" spans="1:13" ht="15.75" customHeight="1">
      <c r="A302" s="1" t="s">
        <v>1726</v>
      </c>
      <c r="B302" s="1" t="str">
        <f>"791390611241"</f>
        <v>791390611241</v>
      </c>
      <c r="C302" s="1" t="s">
        <v>1727</v>
      </c>
      <c r="D302" s="2" t="s">
        <v>1721</v>
      </c>
      <c r="E302" s="1" t="s">
        <v>2819</v>
      </c>
      <c r="F302" s="1" t="s">
        <v>1722</v>
      </c>
      <c r="G302" s="1" t="s">
        <v>2219</v>
      </c>
      <c r="H302" s="1" t="s">
        <v>1723</v>
      </c>
      <c r="I302" s="1" t="s">
        <v>2257</v>
      </c>
      <c r="J302" s="1" t="s">
        <v>2432</v>
      </c>
      <c r="K302" s="3">
        <v>93</v>
      </c>
      <c r="L302" s="4">
        <v>60</v>
      </c>
      <c r="M302" s="4">
        <f t="shared" si="4"/>
        <v>5580</v>
      </c>
    </row>
    <row r="303" spans="1:13" ht="15.75" customHeight="1">
      <c r="A303" s="1" t="s">
        <v>1728</v>
      </c>
      <c r="B303" s="1" t="str">
        <f>"791390614143"</f>
        <v>791390614143</v>
      </c>
      <c r="C303" s="1" t="s">
        <v>1729</v>
      </c>
      <c r="D303" s="2" t="s">
        <v>1730</v>
      </c>
      <c r="E303" s="1" t="s">
        <v>2819</v>
      </c>
      <c r="F303" s="1" t="s">
        <v>1731</v>
      </c>
      <c r="G303" s="1" t="s">
        <v>2211</v>
      </c>
      <c r="H303" s="1" t="s">
        <v>1732</v>
      </c>
      <c r="I303" s="1" t="s">
        <v>2257</v>
      </c>
      <c r="J303" s="1" t="s">
        <v>2432</v>
      </c>
      <c r="K303" s="3">
        <v>178</v>
      </c>
      <c r="L303" s="4">
        <v>60</v>
      </c>
      <c r="M303" s="4">
        <f t="shared" si="4"/>
        <v>10680</v>
      </c>
    </row>
    <row r="304" spans="1:13" ht="15.75" customHeight="1">
      <c r="A304" s="1" t="s">
        <v>1733</v>
      </c>
      <c r="B304" s="1" t="str">
        <f>"791390614136"</f>
        <v>791390614136</v>
      </c>
      <c r="C304" s="1" t="s">
        <v>1734</v>
      </c>
      <c r="D304" s="2" t="s">
        <v>1730</v>
      </c>
      <c r="E304" s="1" t="s">
        <v>2819</v>
      </c>
      <c r="F304" s="1" t="s">
        <v>1731</v>
      </c>
      <c r="G304" s="1" t="s">
        <v>2411</v>
      </c>
      <c r="H304" s="1" t="s">
        <v>1732</v>
      </c>
      <c r="I304" s="1" t="s">
        <v>2257</v>
      </c>
      <c r="J304" s="1" t="s">
        <v>2432</v>
      </c>
      <c r="K304" s="3">
        <v>220</v>
      </c>
      <c r="L304" s="4">
        <v>60</v>
      </c>
      <c r="M304" s="4">
        <f t="shared" si="4"/>
        <v>13200</v>
      </c>
    </row>
    <row r="305" spans="1:13" ht="15.75" customHeight="1">
      <c r="A305" s="1" t="s">
        <v>1735</v>
      </c>
      <c r="B305" s="1" t="str">
        <f>"791390614129"</f>
        <v>791390614129</v>
      </c>
      <c r="C305" s="1" t="s">
        <v>1736</v>
      </c>
      <c r="D305" s="2" t="s">
        <v>1730</v>
      </c>
      <c r="E305" s="1" t="s">
        <v>2819</v>
      </c>
      <c r="F305" s="1" t="s">
        <v>1731</v>
      </c>
      <c r="G305" s="1" t="s">
        <v>2219</v>
      </c>
      <c r="H305" s="1" t="s">
        <v>1732</v>
      </c>
      <c r="I305" s="1" t="s">
        <v>2257</v>
      </c>
      <c r="J305" s="1" t="s">
        <v>2432</v>
      </c>
      <c r="K305" s="3">
        <v>91</v>
      </c>
      <c r="L305" s="4">
        <v>60</v>
      </c>
      <c r="M305" s="4">
        <f t="shared" si="4"/>
        <v>5460</v>
      </c>
    </row>
    <row r="306" spans="1:13" ht="15.75" customHeight="1">
      <c r="A306" s="1" t="s">
        <v>1737</v>
      </c>
      <c r="B306" s="1" t="str">
        <f>"791390614150"</f>
        <v>791390614150</v>
      </c>
      <c r="C306" s="1" t="s">
        <v>1738</v>
      </c>
      <c r="D306" s="2" t="s">
        <v>1730</v>
      </c>
      <c r="E306" s="1" t="s">
        <v>2819</v>
      </c>
      <c r="F306" s="1" t="s">
        <v>1731</v>
      </c>
      <c r="G306" s="1" t="s">
        <v>2418</v>
      </c>
      <c r="H306" s="1" t="s">
        <v>1732</v>
      </c>
      <c r="I306" s="1" t="s">
        <v>2257</v>
      </c>
      <c r="J306" s="1" t="s">
        <v>2432</v>
      </c>
      <c r="K306" s="3">
        <v>8</v>
      </c>
      <c r="L306" s="4">
        <v>60</v>
      </c>
      <c r="M306" s="4">
        <f t="shared" si="4"/>
        <v>480</v>
      </c>
    </row>
    <row r="307" spans="1:13" ht="15.75" customHeight="1">
      <c r="A307" s="1" t="s">
        <v>1739</v>
      </c>
      <c r="B307" s="1" t="str">
        <f>"791390521199"</f>
        <v>791390521199</v>
      </c>
      <c r="C307" s="1" t="s">
        <v>1740</v>
      </c>
      <c r="D307" s="2" t="s">
        <v>1741</v>
      </c>
      <c r="E307" s="1" t="s">
        <v>2819</v>
      </c>
      <c r="F307" s="1" t="s">
        <v>1742</v>
      </c>
      <c r="G307" s="1" t="s">
        <v>2211</v>
      </c>
      <c r="H307" s="1" t="s">
        <v>1743</v>
      </c>
      <c r="I307" s="1" t="s">
        <v>2257</v>
      </c>
      <c r="J307" s="1" t="s">
        <v>2827</v>
      </c>
      <c r="K307" s="3">
        <v>41</v>
      </c>
      <c r="L307" s="4">
        <v>50</v>
      </c>
      <c r="M307" s="4">
        <f t="shared" si="4"/>
        <v>2050</v>
      </c>
    </row>
    <row r="308" spans="1:13" ht="15.75" customHeight="1">
      <c r="A308" s="1" t="s">
        <v>1744</v>
      </c>
      <c r="B308" s="1" t="str">
        <f>"791390521182"</f>
        <v>791390521182</v>
      </c>
      <c r="C308" s="1" t="s">
        <v>1745</v>
      </c>
      <c r="D308" s="2" t="s">
        <v>1741</v>
      </c>
      <c r="E308" s="1" t="s">
        <v>2819</v>
      </c>
      <c r="F308" s="1" t="s">
        <v>1742</v>
      </c>
      <c r="G308" s="1" t="s">
        <v>2411</v>
      </c>
      <c r="H308" s="1" t="s">
        <v>1743</v>
      </c>
      <c r="I308" s="1" t="s">
        <v>2257</v>
      </c>
      <c r="J308" s="1" t="s">
        <v>2827</v>
      </c>
      <c r="K308" s="3">
        <v>52</v>
      </c>
      <c r="L308" s="4">
        <v>50</v>
      </c>
      <c r="M308" s="4">
        <f t="shared" si="4"/>
        <v>2600</v>
      </c>
    </row>
    <row r="309" spans="1:13" ht="15.75" customHeight="1">
      <c r="A309" s="1" t="s">
        <v>1746</v>
      </c>
      <c r="B309" s="1" t="str">
        <f>"791390521175"</f>
        <v>791390521175</v>
      </c>
      <c r="C309" s="1" t="s">
        <v>1747</v>
      </c>
      <c r="D309" s="2" t="s">
        <v>1741</v>
      </c>
      <c r="E309" s="1" t="s">
        <v>2819</v>
      </c>
      <c r="F309" s="1" t="s">
        <v>1742</v>
      </c>
      <c r="G309" s="1" t="s">
        <v>2219</v>
      </c>
      <c r="H309" s="1" t="s">
        <v>1743</v>
      </c>
      <c r="I309" s="1" t="s">
        <v>2257</v>
      </c>
      <c r="J309" s="1" t="s">
        <v>2827</v>
      </c>
      <c r="K309" s="3">
        <v>29</v>
      </c>
      <c r="L309" s="4">
        <v>50</v>
      </c>
      <c r="M309" s="4">
        <f t="shared" si="4"/>
        <v>1450</v>
      </c>
    </row>
    <row r="310" spans="1:13" ht="15.75" customHeight="1">
      <c r="A310" s="1" t="s">
        <v>1748</v>
      </c>
      <c r="B310" s="1" t="str">
        <f>"791390472354"</f>
        <v>791390472354</v>
      </c>
      <c r="C310" s="1" t="s">
        <v>1749</v>
      </c>
      <c r="D310" s="2" t="s">
        <v>1750</v>
      </c>
      <c r="E310" s="1" t="s">
        <v>2819</v>
      </c>
      <c r="F310" s="1" t="s">
        <v>1751</v>
      </c>
      <c r="G310" s="1" t="s">
        <v>2211</v>
      </c>
      <c r="H310" s="1" t="s">
        <v>1752</v>
      </c>
      <c r="I310" s="1" t="s">
        <v>2257</v>
      </c>
      <c r="J310" s="1" t="s">
        <v>1753</v>
      </c>
      <c r="K310" s="3">
        <v>45</v>
      </c>
      <c r="L310" s="4">
        <v>50</v>
      </c>
      <c r="M310" s="4">
        <f t="shared" si="4"/>
        <v>2250</v>
      </c>
    </row>
    <row r="311" spans="1:13" ht="15.75" customHeight="1">
      <c r="A311" s="1" t="s">
        <v>1754</v>
      </c>
      <c r="B311" s="1" t="str">
        <f>"791390472347"</f>
        <v>791390472347</v>
      </c>
      <c r="C311" s="1" t="s">
        <v>1755</v>
      </c>
      <c r="D311" s="2" t="s">
        <v>1750</v>
      </c>
      <c r="E311" s="1" t="s">
        <v>2819</v>
      </c>
      <c r="F311" s="1" t="s">
        <v>1751</v>
      </c>
      <c r="G311" s="1" t="s">
        <v>2411</v>
      </c>
      <c r="H311" s="1" t="s">
        <v>1752</v>
      </c>
      <c r="I311" s="1" t="s">
        <v>2257</v>
      </c>
      <c r="J311" s="1" t="s">
        <v>1753</v>
      </c>
      <c r="K311" s="3">
        <v>71</v>
      </c>
      <c r="L311" s="4">
        <v>50</v>
      </c>
      <c r="M311" s="4">
        <f t="shared" si="4"/>
        <v>3550</v>
      </c>
    </row>
    <row r="312" spans="1:13" ht="15.75" customHeight="1">
      <c r="A312" s="1" t="s">
        <v>1756</v>
      </c>
      <c r="B312" s="1" t="str">
        <f>"791390472330"</f>
        <v>791390472330</v>
      </c>
      <c r="C312" s="1" t="s">
        <v>1757</v>
      </c>
      <c r="D312" s="2" t="s">
        <v>1750</v>
      </c>
      <c r="E312" s="1" t="s">
        <v>2819</v>
      </c>
      <c r="F312" s="1" t="s">
        <v>1751</v>
      </c>
      <c r="G312" s="1" t="s">
        <v>2219</v>
      </c>
      <c r="H312" s="1" t="s">
        <v>1752</v>
      </c>
      <c r="I312" s="1" t="s">
        <v>2257</v>
      </c>
      <c r="J312" s="1" t="s">
        <v>1753</v>
      </c>
      <c r="K312" s="3">
        <v>21</v>
      </c>
      <c r="L312" s="4">
        <v>50</v>
      </c>
      <c r="M312" s="4">
        <f t="shared" si="4"/>
        <v>1050</v>
      </c>
    </row>
    <row r="313" spans="1:13" ht="15.75" customHeight="1">
      <c r="A313" s="1" t="s">
        <v>1758</v>
      </c>
      <c r="B313" s="1" t="str">
        <f>"197675054848"</f>
        <v>197675054848</v>
      </c>
      <c r="C313" s="1" t="s">
        <v>1759</v>
      </c>
      <c r="D313" s="2" t="s">
        <v>1760</v>
      </c>
      <c r="E313" s="1" t="s">
        <v>2819</v>
      </c>
      <c r="F313" s="1" t="s">
        <v>1761</v>
      </c>
      <c r="G313" s="1" t="s">
        <v>2411</v>
      </c>
      <c r="H313" s="1" t="s">
        <v>1762</v>
      </c>
      <c r="I313" s="1" t="s">
        <v>2257</v>
      </c>
      <c r="J313" s="1" t="s">
        <v>2815</v>
      </c>
      <c r="K313" s="3">
        <v>1</v>
      </c>
      <c r="L313" s="4">
        <v>165</v>
      </c>
      <c r="M313" s="4">
        <f t="shared" si="4"/>
        <v>165</v>
      </c>
    </row>
    <row r="314" spans="1:13" ht="15.75" customHeight="1">
      <c r="A314" s="1" t="s">
        <v>1763</v>
      </c>
      <c r="B314" s="1" t="str">
        <f>"197675054824"</f>
        <v>197675054824</v>
      </c>
      <c r="C314" s="1" t="s">
        <v>1764</v>
      </c>
      <c r="D314" s="2" t="s">
        <v>1760</v>
      </c>
      <c r="E314" s="1" t="s">
        <v>2819</v>
      </c>
      <c r="F314" s="1" t="s">
        <v>1761</v>
      </c>
      <c r="G314" s="1" t="s">
        <v>2219</v>
      </c>
      <c r="H314" s="1" t="s">
        <v>1762</v>
      </c>
      <c r="I314" s="1" t="s">
        <v>2257</v>
      </c>
      <c r="J314" s="1" t="s">
        <v>2815</v>
      </c>
      <c r="K314" s="3">
        <v>4</v>
      </c>
      <c r="L314" s="4">
        <v>165</v>
      </c>
      <c r="M314" s="4">
        <f t="shared" si="4"/>
        <v>660</v>
      </c>
    </row>
    <row r="315" spans="1:13" ht="15.75" customHeight="1">
      <c r="A315" s="1" t="s">
        <v>1765</v>
      </c>
      <c r="B315" s="1" t="str">
        <f>"197675054688"</f>
        <v>197675054688</v>
      </c>
      <c r="C315" s="1" t="s">
        <v>1766</v>
      </c>
      <c r="D315" s="2" t="s">
        <v>1760</v>
      </c>
      <c r="E315" s="1" t="s">
        <v>2819</v>
      </c>
      <c r="F315" s="1" t="s">
        <v>2813</v>
      </c>
      <c r="G315" s="1" t="s">
        <v>2211</v>
      </c>
      <c r="H315" s="1" t="s">
        <v>1762</v>
      </c>
      <c r="I315" s="1" t="s">
        <v>2257</v>
      </c>
      <c r="J315" s="1" t="s">
        <v>2815</v>
      </c>
      <c r="K315" s="3">
        <v>2</v>
      </c>
      <c r="L315" s="4">
        <v>165</v>
      </c>
      <c r="M315" s="4">
        <f t="shared" si="4"/>
        <v>330</v>
      </c>
    </row>
    <row r="316" spans="1:13" ht="15.75" customHeight="1">
      <c r="A316" s="1" t="s">
        <v>1767</v>
      </c>
      <c r="B316" s="1" t="str">
        <f>"197675054671"</f>
        <v>197675054671</v>
      </c>
      <c r="C316" s="1" t="s">
        <v>1768</v>
      </c>
      <c r="D316" s="2" t="s">
        <v>1760</v>
      </c>
      <c r="E316" s="1" t="s">
        <v>2819</v>
      </c>
      <c r="F316" s="1" t="s">
        <v>2813</v>
      </c>
      <c r="G316" s="1" t="s">
        <v>2411</v>
      </c>
      <c r="H316" s="1" t="s">
        <v>1762</v>
      </c>
      <c r="I316" s="1" t="s">
        <v>2257</v>
      </c>
      <c r="J316" s="1" t="s">
        <v>2815</v>
      </c>
      <c r="K316" s="3">
        <v>4</v>
      </c>
      <c r="L316" s="4">
        <v>165</v>
      </c>
      <c r="M316" s="4">
        <f t="shared" si="4"/>
        <v>660</v>
      </c>
    </row>
    <row r="317" spans="1:13" ht="15.75" customHeight="1">
      <c r="A317" s="1" t="s">
        <v>1769</v>
      </c>
      <c r="B317" s="1" t="str">
        <f>"196096975381"</f>
        <v>196096975381</v>
      </c>
      <c r="C317" s="1" t="s">
        <v>1770</v>
      </c>
      <c r="D317" s="2" t="s">
        <v>1771</v>
      </c>
      <c r="E317" s="1" t="s">
        <v>2819</v>
      </c>
      <c r="F317" s="1" t="s">
        <v>1772</v>
      </c>
      <c r="G317" s="1" t="s">
        <v>2219</v>
      </c>
      <c r="H317" s="1" t="s">
        <v>1762</v>
      </c>
      <c r="I317" s="1" t="s">
        <v>2257</v>
      </c>
      <c r="J317" s="1" t="s">
        <v>2815</v>
      </c>
      <c r="K317" s="3">
        <v>3</v>
      </c>
      <c r="L317" s="4">
        <v>165</v>
      </c>
      <c r="M317" s="4">
        <f t="shared" si="4"/>
        <v>495</v>
      </c>
    </row>
    <row r="318" spans="1:13" ht="15.75" customHeight="1">
      <c r="A318" s="1" t="s">
        <v>1773</v>
      </c>
      <c r="B318" s="1" t="str">
        <f>"198524012965"</f>
        <v>198524012965</v>
      </c>
      <c r="C318" s="1" t="s">
        <v>1774</v>
      </c>
      <c r="D318" s="2" t="s">
        <v>1775</v>
      </c>
      <c r="E318" s="1" t="s">
        <v>2819</v>
      </c>
      <c r="F318" s="1" t="s">
        <v>2210</v>
      </c>
      <c r="G318" s="1" t="s">
        <v>2411</v>
      </c>
      <c r="H318" s="1" t="s">
        <v>1776</v>
      </c>
      <c r="I318" s="1" t="s">
        <v>2257</v>
      </c>
      <c r="J318" s="1" t="s">
        <v>2815</v>
      </c>
      <c r="K318" s="3">
        <v>107</v>
      </c>
      <c r="L318" s="4">
        <v>120</v>
      </c>
      <c r="M318" s="4">
        <f t="shared" si="4"/>
        <v>12840</v>
      </c>
    </row>
    <row r="319" spans="1:13" ht="15.75" customHeight="1">
      <c r="A319" s="1" t="s">
        <v>1777</v>
      </c>
      <c r="B319" s="1" t="str">
        <f>"198524012958"</f>
        <v>198524012958</v>
      </c>
      <c r="C319" s="1" t="s">
        <v>1778</v>
      </c>
      <c r="D319" s="2" t="s">
        <v>1775</v>
      </c>
      <c r="E319" s="1" t="s">
        <v>2819</v>
      </c>
      <c r="F319" s="1" t="s">
        <v>2210</v>
      </c>
      <c r="G319" s="1" t="s">
        <v>2219</v>
      </c>
      <c r="H319" s="1" t="s">
        <v>1776</v>
      </c>
      <c r="I319" s="1" t="s">
        <v>2257</v>
      </c>
      <c r="J319" s="1" t="s">
        <v>2815</v>
      </c>
      <c r="K319" s="3">
        <v>45</v>
      </c>
      <c r="L319" s="4">
        <v>120</v>
      </c>
      <c r="M319" s="4">
        <f t="shared" si="4"/>
        <v>5400</v>
      </c>
    </row>
    <row r="320" spans="1:13" ht="15.75" customHeight="1">
      <c r="A320" s="1" t="s">
        <v>1779</v>
      </c>
      <c r="B320" s="1" t="str">
        <f>"198524012927"</f>
        <v>198524012927</v>
      </c>
      <c r="C320" s="1" t="s">
        <v>1780</v>
      </c>
      <c r="D320" s="2" t="s">
        <v>1781</v>
      </c>
      <c r="E320" s="1" t="s">
        <v>2819</v>
      </c>
      <c r="F320" s="1" t="s">
        <v>1751</v>
      </c>
      <c r="G320" s="1" t="s">
        <v>2211</v>
      </c>
      <c r="H320" s="1" t="s">
        <v>1782</v>
      </c>
      <c r="I320" s="1" t="s">
        <v>2257</v>
      </c>
      <c r="J320" s="1" t="s">
        <v>2815</v>
      </c>
      <c r="K320" s="3">
        <v>1</v>
      </c>
      <c r="L320" s="4">
        <v>120</v>
      </c>
      <c r="M320" s="4">
        <f t="shared" si="4"/>
        <v>120</v>
      </c>
    </row>
    <row r="321" spans="1:13" ht="15.75" customHeight="1">
      <c r="A321" s="1" t="s">
        <v>1783</v>
      </c>
      <c r="B321" s="1" t="str">
        <f>"791390724682"</f>
        <v>791390724682</v>
      </c>
      <c r="C321" s="1" t="s">
        <v>1784</v>
      </c>
      <c r="D321" s="2" t="s">
        <v>1785</v>
      </c>
      <c r="E321" s="1" t="s">
        <v>2819</v>
      </c>
      <c r="F321" s="1" t="s">
        <v>1742</v>
      </c>
      <c r="G321" s="1" t="s">
        <v>2211</v>
      </c>
      <c r="H321" s="1" t="s">
        <v>1786</v>
      </c>
      <c r="I321" s="1" t="s">
        <v>2220</v>
      </c>
      <c r="J321" s="1" t="s">
        <v>2815</v>
      </c>
      <c r="K321" s="3">
        <v>39</v>
      </c>
      <c r="L321" s="4">
        <v>89.5</v>
      </c>
      <c r="M321" s="4">
        <f t="shared" si="4"/>
        <v>3490.5</v>
      </c>
    </row>
    <row r="322" spans="1:13" ht="15.75" customHeight="1">
      <c r="A322" s="1" t="s">
        <v>1787</v>
      </c>
      <c r="B322" s="1" t="str">
        <f>"791390724415"</f>
        <v>791390724415</v>
      </c>
      <c r="C322" s="1" t="s">
        <v>1788</v>
      </c>
      <c r="D322" s="2" t="s">
        <v>1785</v>
      </c>
      <c r="E322" s="1" t="s">
        <v>2819</v>
      </c>
      <c r="F322" s="1" t="s">
        <v>1742</v>
      </c>
      <c r="G322" s="1" t="s">
        <v>2219</v>
      </c>
      <c r="H322" s="1" t="s">
        <v>1786</v>
      </c>
      <c r="I322" s="1" t="s">
        <v>2220</v>
      </c>
      <c r="J322" s="1" t="s">
        <v>2815</v>
      </c>
      <c r="K322" s="3">
        <v>27</v>
      </c>
      <c r="L322" s="4">
        <v>89.5</v>
      </c>
      <c r="M322" s="4">
        <f t="shared" ref="M322:M385" si="5">L322*K322</f>
        <v>2416.5</v>
      </c>
    </row>
    <row r="323" spans="1:13" ht="15.75" customHeight="1">
      <c r="A323" s="1" t="s">
        <v>1789</v>
      </c>
      <c r="B323" s="1" t="str">
        <f>"791390673348"</f>
        <v>791390673348</v>
      </c>
      <c r="C323" s="1" t="s">
        <v>1790</v>
      </c>
      <c r="D323" s="2" t="s">
        <v>1791</v>
      </c>
      <c r="E323" s="1" t="s">
        <v>2819</v>
      </c>
      <c r="F323" s="1" t="s">
        <v>1792</v>
      </c>
      <c r="G323" s="1" t="s">
        <v>2211</v>
      </c>
      <c r="H323" s="1" t="s">
        <v>1793</v>
      </c>
      <c r="I323" s="1" t="s">
        <v>2220</v>
      </c>
      <c r="J323" s="1" t="s">
        <v>2432</v>
      </c>
      <c r="K323" s="3">
        <v>16</v>
      </c>
      <c r="L323" s="4">
        <v>80</v>
      </c>
      <c r="M323" s="4">
        <f t="shared" si="5"/>
        <v>1280</v>
      </c>
    </row>
    <row r="324" spans="1:13" ht="15.75" customHeight="1">
      <c r="A324" s="1" t="s">
        <v>1794</v>
      </c>
      <c r="B324" s="1" t="str">
        <f>"791390789483"</f>
        <v>791390789483</v>
      </c>
      <c r="C324" s="1" t="s">
        <v>1795</v>
      </c>
      <c r="D324" s="2" t="s">
        <v>1796</v>
      </c>
      <c r="E324" s="1" t="s">
        <v>2819</v>
      </c>
      <c r="F324" s="1" t="s">
        <v>2842</v>
      </c>
      <c r="G324" s="1" t="s">
        <v>2211</v>
      </c>
      <c r="H324" s="1" t="s">
        <v>1797</v>
      </c>
      <c r="I324" s="1" t="s">
        <v>2220</v>
      </c>
      <c r="J324" s="1" t="s">
        <v>2235</v>
      </c>
      <c r="K324" s="3">
        <v>201</v>
      </c>
      <c r="L324" s="4">
        <v>75</v>
      </c>
      <c r="M324" s="4">
        <f t="shared" si="5"/>
        <v>15075</v>
      </c>
    </row>
    <row r="325" spans="1:13" ht="15.75" customHeight="1">
      <c r="A325" s="1" t="s">
        <v>1798</v>
      </c>
      <c r="B325" s="1" t="str">
        <f>"791390548134"</f>
        <v>791390548134</v>
      </c>
      <c r="C325" s="1" t="s">
        <v>1799</v>
      </c>
      <c r="D325" s="2" t="s">
        <v>1800</v>
      </c>
      <c r="E325" s="1" t="s">
        <v>2819</v>
      </c>
      <c r="F325" s="1" t="s">
        <v>1801</v>
      </c>
      <c r="G325" s="1" t="s">
        <v>2211</v>
      </c>
      <c r="H325" s="1" t="s">
        <v>1802</v>
      </c>
      <c r="I325" s="1" t="s">
        <v>2220</v>
      </c>
      <c r="J325" s="1" t="s">
        <v>2235</v>
      </c>
      <c r="K325" s="3">
        <v>42</v>
      </c>
      <c r="L325" s="4">
        <v>75</v>
      </c>
      <c r="M325" s="4">
        <f t="shared" si="5"/>
        <v>3150</v>
      </c>
    </row>
    <row r="326" spans="1:13" ht="15.75" customHeight="1">
      <c r="A326" s="1" t="s">
        <v>1803</v>
      </c>
      <c r="B326" s="1" t="str">
        <f>"791390552155"</f>
        <v>791390552155</v>
      </c>
      <c r="C326" s="1" t="s">
        <v>1804</v>
      </c>
      <c r="D326" s="2" t="s">
        <v>1805</v>
      </c>
      <c r="E326" s="1" t="s">
        <v>2819</v>
      </c>
      <c r="F326" s="1" t="s">
        <v>1806</v>
      </c>
      <c r="G326" s="1" t="s">
        <v>2211</v>
      </c>
      <c r="H326" s="1" t="s">
        <v>1802</v>
      </c>
      <c r="I326" s="1" t="s">
        <v>2220</v>
      </c>
      <c r="J326" s="1" t="s">
        <v>2235</v>
      </c>
      <c r="K326" s="3">
        <v>78</v>
      </c>
      <c r="L326" s="4">
        <v>75</v>
      </c>
      <c r="M326" s="4">
        <f t="shared" si="5"/>
        <v>5850</v>
      </c>
    </row>
    <row r="327" spans="1:13" ht="15.75" customHeight="1">
      <c r="A327" s="1" t="s">
        <v>1613</v>
      </c>
      <c r="B327" s="1" t="str">
        <f>"791390226087"</f>
        <v>791390226087</v>
      </c>
      <c r="C327" s="1" t="s">
        <v>1614</v>
      </c>
      <c r="D327" s="2" t="s">
        <v>1615</v>
      </c>
      <c r="E327" s="1" t="s">
        <v>2819</v>
      </c>
      <c r="F327" s="1" t="s">
        <v>1616</v>
      </c>
      <c r="G327" s="1" t="s">
        <v>2211</v>
      </c>
      <c r="H327" s="1" t="s">
        <v>1608</v>
      </c>
      <c r="I327" s="1" t="s">
        <v>2220</v>
      </c>
      <c r="J327" s="1" t="s">
        <v>2815</v>
      </c>
      <c r="K327" s="3">
        <v>31</v>
      </c>
      <c r="L327" s="4">
        <v>75</v>
      </c>
      <c r="M327" s="4">
        <f t="shared" si="5"/>
        <v>2325</v>
      </c>
    </row>
    <row r="328" spans="1:13" ht="15.75" customHeight="1">
      <c r="A328" s="1" t="s">
        <v>1807</v>
      </c>
      <c r="B328" s="1" t="str">
        <f>"791390213612"</f>
        <v>791390213612</v>
      </c>
      <c r="C328" s="1" t="s">
        <v>1808</v>
      </c>
      <c r="D328" s="2" t="s">
        <v>1809</v>
      </c>
      <c r="E328" s="1" t="s">
        <v>2819</v>
      </c>
      <c r="F328" s="1" t="s">
        <v>1810</v>
      </c>
      <c r="G328" s="1" t="s">
        <v>2411</v>
      </c>
      <c r="H328" s="1"/>
      <c r="I328" s="1" t="s">
        <v>2257</v>
      </c>
      <c r="J328" s="1" t="s">
        <v>2911</v>
      </c>
      <c r="K328" s="3">
        <v>74</v>
      </c>
      <c r="L328" s="4">
        <v>75</v>
      </c>
      <c r="M328" s="4">
        <f t="shared" si="5"/>
        <v>5550</v>
      </c>
    </row>
    <row r="329" spans="1:13" ht="15.75" customHeight="1">
      <c r="A329" s="1" t="s">
        <v>1811</v>
      </c>
      <c r="B329" s="1" t="str">
        <f>"791390589946"</f>
        <v>791390589946</v>
      </c>
      <c r="C329" s="1" t="s">
        <v>1812</v>
      </c>
      <c r="D329" s="2" t="s">
        <v>1813</v>
      </c>
      <c r="E329" s="1" t="s">
        <v>2819</v>
      </c>
      <c r="F329" s="1" t="s">
        <v>1814</v>
      </c>
      <c r="G329" s="1" t="s">
        <v>2219</v>
      </c>
      <c r="H329" s="1" t="s">
        <v>1815</v>
      </c>
      <c r="I329" s="1" t="s">
        <v>2220</v>
      </c>
      <c r="J329" s="1" t="s">
        <v>2432</v>
      </c>
      <c r="K329" s="3">
        <v>15</v>
      </c>
      <c r="L329" s="4">
        <v>70</v>
      </c>
      <c r="M329" s="4">
        <f t="shared" si="5"/>
        <v>1050</v>
      </c>
    </row>
    <row r="330" spans="1:13" ht="15.75" customHeight="1">
      <c r="A330" s="1" t="s">
        <v>1816</v>
      </c>
      <c r="B330" s="1" t="str">
        <f>"791390323533"</f>
        <v>791390323533</v>
      </c>
      <c r="C330" s="1" t="s">
        <v>1817</v>
      </c>
      <c r="D330" s="2" t="s">
        <v>1818</v>
      </c>
      <c r="E330" s="1" t="s">
        <v>2819</v>
      </c>
      <c r="F330" s="1" t="s">
        <v>1819</v>
      </c>
      <c r="G330" s="1" t="s">
        <v>2411</v>
      </c>
      <c r="H330" s="1" t="s">
        <v>1820</v>
      </c>
      <c r="I330" s="1" t="s">
        <v>2257</v>
      </c>
      <c r="J330" s="1" t="s">
        <v>2827</v>
      </c>
      <c r="K330" s="3">
        <v>64</v>
      </c>
      <c r="L330" s="4">
        <v>70</v>
      </c>
      <c r="M330" s="4">
        <f t="shared" si="5"/>
        <v>4480</v>
      </c>
    </row>
    <row r="331" spans="1:13" ht="15.75" customHeight="1">
      <c r="A331" s="1" t="s">
        <v>1821</v>
      </c>
      <c r="B331" s="1" t="str">
        <f>"791390323526"</f>
        <v>791390323526</v>
      </c>
      <c r="C331" s="1" t="s">
        <v>1822</v>
      </c>
      <c r="D331" s="2" t="s">
        <v>1818</v>
      </c>
      <c r="E331" s="1" t="s">
        <v>2819</v>
      </c>
      <c r="F331" s="1" t="s">
        <v>1819</v>
      </c>
      <c r="G331" s="1" t="s">
        <v>2219</v>
      </c>
      <c r="H331" s="1" t="s">
        <v>1820</v>
      </c>
      <c r="I331" s="1" t="s">
        <v>2257</v>
      </c>
      <c r="J331" s="1" t="s">
        <v>2827</v>
      </c>
      <c r="K331" s="3">
        <v>98</v>
      </c>
      <c r="L331" s="4">
        <v>70</v>
      </c>
      <c r="M331" s="4">
        <f t="shared" si="5"/>
        <v>6860</v>
      </c>
    </row>
    <row r="332" spans="1:13" ht="15.75" customHeight="1">
      <c r="A332" s="1" t="s">
        <v>1823</v>
      </c>
      <c r="B332" s="1" t="str">
        <f>"791390323595"</f>
        <v>791390323595</v>
      </c>
      <c r="C332" s="1" t="s">
        <v>1824</v>
      </c>
      <c r="D332" s="2" t="s">
        <v>1825</v>
      </c>
      <c r="E332" s="1" t="s">
        <v>2819</v>
      </c>
      <c r="F332" s="1" t="s">
        <v>1826</v>
      </c>
      <c r="G332" s="1" t="s">
        <v>2411</v>
      </c>
      <c r="H332" s="1" t="s">
        <v>1820</v>
      </c>
      <c r="I332" s="1" t="s">
        <v>2257</v>
      </c>
      <c r="J332" s="1" t="s">
        <v>2827</v>
      </c>
      <c r="K332" s="3">
        <v>54</v>
      </c>
      <c r="L332" s="4">
        <v>70</v>
      </c>
      <c r="M332" s="4">
        <f t="shared" si="5"/>
        <v>3780</v>
      </c>
    </row>
    <row r="333" spans="1:13" ht="15.75" customHeight="1">
      <c r="A333" s="1" t="s">
        <v>1827</v>
      </c>
      <c r="B333" s="1" t="str">
        <f>"791390323588"</f>
        <v>791390323588</v>
      </c>
      <c r="C333" s="1" t="s">
        <v>1828</v>
      </c>
      <c r="D333" s="2" t="s">
        <v>1825</v>
      </c>
      <c r="E333" s="1" t="s">
        <v>2819</v>
      </c>
      <c r="F333" s="1" t="s">
        <v>1826</v>
      </c>
      <c r="G333" s="1" t="s">
        <v>2219</v>
      </c>
      <c r="H333" s="1" t="s">
        <v>1820</v>
      </c>
      <c r="I333" s="1" t="s">
        <v>2257</v>
      </c>
      <c r="J333" s="1" t="s">
        <v>2827</v>
      </c>
      <c r="K333" s="3">
        <v>104</v>
      </c>
      <c r="L333" s="4">
        <v>70</v>
      </c>
      <c r="M333" s="4">
        <f t="shared" si="5"/>
        <v>7280</v>
      </c>
    </row>
    <row r="334" spans="1:13" ht="15.75" customHeight="1">
      <c r="A334" s="1" t="s">
        <v>1829</v>
      </c>
      <c r="B334" s="1" t="str">
        <f>"791390602065"</f>
        <v>791390602065</v>
      </c>
      <c r="C334" s="1" t="s">
        <v>1830</v>
      </c>
      <c r="D334" s="2" t="s">
        <v>1831</v>
      </c>
      <c r="E334" s="1" t="s">
        <v>2819</v>
      </c>
      <c r="F334" s="1" t="s">
        <v>2939</v>
      </c>
      <c r="G334" s="1" t="s">
        <v>2219</v>
      </c>
      <c r="H334" s="1" t="s">
        <v>1832</v>
      </c>
      <c r="I334" s="1" t="s">
        <v>2220</v>
      </c>
      <c r="J334" s="1" t="s">
        <v>2235</v>
      </c>
      <c r="K334" s="3">
        <v>7</v>
      </c>
      <c r="L334" s="4">
        <v>60</v>
      </c>
      <c r="M334" s="4">
        <f t="shared" si="5"/>
        <v>420</v>
      </c>
    </row>
    <row r="335" spans="1:13" ht="15.75" customHeight="1">
      <c r="A335" s="1" t="s">
        <v>1833</v>
      </c>
      <c r="B335" s="1" t="str">
        <f>"791390602195"</f>
        <v>791390602195</v>
      </c>
      <c r="C335" s="1" t="s">
        <v>1834</v>
      </c>
      <c r="D335" s="2" t="s">
        <v>1835</v>
      </c>
      <c r="E335" s="1" t="s">
        <v>2819</v>
      </c>
      <c r="F335" s="1" t="s">
        <v>1620</v>
      </c>
      <c r="G335" s="1" t="s">
        <v>2211</v>
      </c>
      <c r="H335" s="1" t="s">
        <v>1832</v>
      </c>
      <c r="I335" s="1" t="s">
        <v>2220</v>
      </c>
      <c r="J335" s="1" t="s">
        <v>2235</v>
      </c>
      <c r="K335" s="3">
        <v>147</v>
      </c>
      <c r="L335" s="4">
        <v>60</v>
      </c>
      <c r="M335" s="4">
        <f t="shared" si="5"/>
        <v>8820</v>
      </c>
    </row>
    <row r="336" spans="1:13" ht="15.75" customHeight="1">
      <c r="A336" s="1" t="s">
        <v>1836</v>
      </c>
      <c r="B336" s="1" t="str">
        <f>"791390602188"</f>
        <v>791390602188</v>
      </c>
      <c r="C336" s="1" t="s">
        <v>1837</v>
      </c>
      <c r="D336" s="2" t="s">
        <v>1835</v>
      </c>
      <c r="E336" s="1" t="s">
        <v>2819</v>
      </c>
      <c r="F336" s="1" t="s">
        <v>1620</v>
      </c>
      <c r="G336" s="1" t="s">
        <v>2411</v>
      </c>
      <c r="H336" s="1" t="s">
        <v>1832</v>
      </c>
      <c r="I336" s="1" t="s">
        <v>2220</v>
      </c>
      <c r="J336" s="1" t="s">
        <v>2235</v>
      </c>
      <c r="K336" s="3">
        <v>1</v>
      </c>
      <c r="L336" s="4">
        <v>60</v>
      </c>
      <c r="M336" s="4">
        <f t="shared" si="5"/>
        <v>60</v>
      </c>
    </row>
    <row r="337" spans="1:13" ht="15.75" customHeight="1">
      <c r="A337" s="1" t="s">
        <v>1838</v>
      </c>
      <c r="B337" s="1" t="str">
        <f>"791390712948"</f>
        <v>791390712948</v>
      </c>
      <c r="C337" s="1" t="s">
        <v>1839</v>
      </c>
      <c r="D337" s="2" t="s">
        <v>1840</v>
      </c>
      <c r="E337" s="1" t="s">
        <v>2819</v>
      </c>
      <c r="F337" s="1" t="s">
        <v>1841</v>
      </c>
      <c r="G337" s="1" t="s">
        <v>2211</v>
      </c>
      <c r="H337" s="1" t="s">
        <v>1842</v>
      </c>
      <c r="I337" s="1" t="s">
        <v>2220</v>
      </c>
      <c r="J337" s="1" t="s">
        <v>2235</v>
      </c>
      <c r="K337" s="3">
        <v>71</v>
      </c>
      <c r="L337" s="4">
        <v>65</v>
      </c>
      <c r="M337" s="4">
        <f t="shared" si="5"/>
        <v>4615</v>
      </c>
    </row>
    <row r="338" spans="1:13" ht="15.75" customHeight="1">
      <c r="A338" s="1" t="s">
        <v>1843</v>
      </c>
      <c r="B338" s="1" t="str">
        <f>"791390570227"</f>
        <v>791390570227</v>
      </c>
      <c r="C338" s="1" t="s">
        <v>1844</v>
      </c>
      <c r="D338" s="2" t="s">
        <v>1845</v>
      </c>
      <c r="E338" s="1" t="s">
        <v>2819</v>
      </c>
      <c r="F338" s="1" t="s">
        <v>1846</v>
      </c>
      <c r="G338" s="1" t="s">
        <v>2211</v>
      </c>
      <c r="H338" s="1" t="s">
        <v>1847</v>
      </c>
      <c r="I338" s="1" t="s">
        <v>2220</v>
      </c>
      <c r="J338" s="1" t="s">
        <v>2432</v>
      </c>
      <c r="K338" s="3">
        <v>53</v>
      </c>
      <c r="L338" s="4">
        <v>65</v>
      </c>
      <c r="M338" s="4">
        <f t="shared" si="5"/>
        <v>3445</v>
      </c>
    </row>
    <row r="339" spans="1:13" ht="15.75" customHeight="1">
      <c r="A339" s="1" t="s">
        <v>1848</v>
      </c>
      <c r="B339" s="1" t="str">
        <f>"791390528907"</f>
        <v>791390528907</v>
      </c>
      <c r="C339" s="1" t="s">
        <v>1849</v>
      </c>
      <c r="D339" s="2" t="s">
        <v>1850</v>
      </c>
      <c r="E339" s="1" t="s">
        <v>2819</v>
      </c>
      <c r="F339" s="1" t="s">
        <v>1851</v>
      </c>
      <c r="G339" s="1" t="s">
        <v>2211</v>
      </c>
      <c r="H339" s="1" t="s">
        <v>1852</v>
      </c>
      <c r="I339" s="1" t="s">
        <v>2220</v>
      </c>
      <c r="J339" s="1" t="s">
        <v>2432</v>
      </c>
      <c r="K339" s="3">
        <v>113</v>
      </c>
      <c r="L339" s="4">
        <v>65</v>
      </c>
      <c r="M339" s="4">
        <f t="shared" si="5"/>
        <v>7345</v>
      </c>
    </row>
    <row r="340" spans="1:13" ht="15.75" customHeight="1">
      <c r="A340" s="1" t="s">
        <v>1853</v>
      </c>
      <c r="B340" s="1" t="str">
        <f>"791390613979"</f>
        <v>791390613979</v>
      </c>
      <c r="C340" s="1" t="s">
        <v>1854</v>
      </c>
      <c r="D340" s="2" t="s">
        <v>1855</v>
      </c>
      <c r="E340" s="1" t="s">
        <v>2819</v>
      </c>
      <c r="F340" s="1" t="s">
        <v>1856</v>
      </c>
      <c r="G340" s="1" t="s">
        <v>2211</v>
      </c>
      <c r="H340" s="1" t="s">
        <v>1832</v>
      </c>
      <c r="I340" s="1" t="s">
        <v>2220</v>
      </c>
      <c r="J340" s="1" t="s">
        <v>2235</v>
      </c>
      <c r="K340" s="3">
        <v>103</v>
      </c>
      <c r="L340" s="4">
        <v>60</v>
      </c>
      <c r="M340" s="4">
        <f t="shared" si="5"/>
        <v>6180</v>
      </c>
    </row>
    <row r="341" spans="1:13" ht="15.75" customHeight="1">
      <c r="A341" s="1" t="s">
        <v>1857</v>
      </c>
      <c r="B341" s="1" t="str">
        <f>"791390610985"</f>
        <v>791390610985</v>
      </c>
      <c r="C341" s="1" t="s">
        <v>1858</v>
      </c>
      <c r="D341" s="2" t="s">
        <v>1855</v>
      </c>
      <c r="E341" s="1" t="s">
        <v>2819</v>
      </c>
      <c r="F341" s="1" t="s">
        <v>1856</v>
      </c>
      <c r="G341" s="1" t="s">
        <v>2219</v>
      </c>
      <c r="H341" s="1" t="s">
        <v>1832</v>
      </c>
      <c r="I341" s="1" t="s">
        <v>2220</v>
      </c>
      <c r="J341" s="1" t="s">
        <v>2235</v>
      </c>
      <c r="K341" s="3">
        <v>10</v>
      </c>
      <c r="L341" s="4">
        <v>60</v>
      </c>
      <c r="M341" s="4">
        <f t="shared" si="5"/>
        <v>600</v>
      </c>
    </row>
    <row r="342" spans="1:13" ht="15.75" customHeight="1">
      <c r="A342" s="1" t="s">
        <v>1859</v>
      </c>
      <c r="B342" s="1" t="str">
        <f>"791390603697"</f>
        <v>791390603697</v>
      </c>
      <c r="C342" s="1" t="s">
        <v>1860</v>
      </c>
      <c r="D342" s="2" t="s">
        <v>1861</v>
      </c>
      <c r="E342" s="1" t="s">
        <v>2819</v>
      </c>
      <c r="F342" s="1" t="s">
        <v>1862</v>
      </c>
      <c r="G342" s="1" t="s">
        <v>2211</v>
      </c>
      <c r="H342" s="1" t="s">
        <v>1832</v>
      </c>
      <c r="I342" s="1" t="s">
        <v>2220</v>
      </c>
      <c r="J342" s="1" t="s">
        <v>2235</v>
      </c>
      <c r="K342" s="3">
        <v>10</v>
      </c>
      <c r="L342" s="4">
        <v>60</v>
      </c>
      <c r="M342" s="4">
        <f t="shared" si="5"/>
        <v>600</v>
      </c>
    </row>
    <row r="343" spans="1:13" ht="15.75" customHeight="1">
      <c r="A343" s="1" t="s">
        <v>1863</v>
      </c>
      <c r="B343" s="1" t="str">
        <f>"791390602171"</f>
        <v>791390602171</v>
      </c>
      <c r="C343" s="1" t="s">
        <v>1864</v>
      </c>
      <c r="D343" s="2" t="s">
        <v>1835</v>
      </c>
      <c r="E343" s="1" t="s">
        <v>2819</v>
      </c>
      <c r="F343" s="1" t="s">
        <v>1620</v>
      </c>
      <c r="G343" s="1" t="s">
        <v>2219</v>
      </c>
      <c r="H343" s="1" t="s">
        <v>1832</v>
      </c>
      <c r="I343" s="1" t="s">
        <v>2220</v>
      </c>
      <c r="J343" s="1" t="s">
        <v>2235</v>
      </c>
      <c r="K343" s="3">
        <v>3</v>
      </c>
      <c r="L343" s="4">
        <v>60</v>
      </c>
      <c r="M343" s="4">
        <f t="shared" si="5"/>
        <v>180</v>
      </c>
    </row>
    <row r="344" spans="1:13" ht="15.75" customHeight="1">
      <c r="A344" s="1" t="s">
        <v>1865</v>
      </c>
      <c r="B344" s="1" t="str">
        <f>"791390380345"</f>
        <v>791390380345</v>
      </c>
      <c r="C344" s="1" t="s">
        <v>1866</v>
      </c>
      <c r="D344" s="2" t="s">
        <v>1867</v>
      </c>
      <c r="E344" s="1" t="s">
        <v>2819</v>
      </c>
      <c r="F344" s="1" t="s">
        <v>1868</v>
      </c>
      <c r="G344" s="1" t="s">
        <v>2211</v>
      </c>
      <c r="H344" s="1" t="s">
        <v>1869</v>
      </c>
      <c r="I344" s="1" t="s">
        <v>2257</v>
      </c>
      <c r="J344" s="1" t="s">
        <v>1663</v>
      </c>
      <c r="K344" s="3">
        <v>125</v>
      </c>
      <c r="L344" s="4">
        <v>65</v>
      </c>
      <c r="M344" s="4">
        <f t="shared" si="5"/>
        <v>8125</v>
      </c>
    </row>
    <row r="345" spans="1:13" ht="15.75" customHeight="1">
      <c r="A345" s="1" t="s">
        <v>1870</v>
      </c>
      <c r="B345" s="1" t="str">
        <f>"791390380338"</f>
        <v>791390380338</v>
      </c>
      <c r="C345" s="1" t="s">
        <v>1871</v>
      </c>
      <c r="D345" s="2" t="s">
        <v>1867</v>
      </c>
      <c r="E345" s="1" t="s">
        <v>2819</v>
      </c>
      <c r="F345" s="1" t="s">
        <v>1868</v>
      </c>
      <c r="G345" s="1" t="s">
        <v>2411</v>
      </c>
      <c r="H345" s="1" t="s">
        <v>1869</v>
      </c>
      <c r="I345" s="1" t="s">
        <v>2257</v>
      </c>
      <c r="J345" s="1" t="s">
        <v>1663</v>
      </c>
      <c r="K345" s="3">
        <v>183</v>
      </c>
      <c r="L345" s="4">
        <v>65</v>
      </c>
      <c r="M345" s="4">
        <f t="shared" si="5"/>
        <v>11895</v>
      </c>
    </row>
    <row r="346" spans="1:13" ht="15.75" customHeight="1">
      <c r="A346" s="1" t="s">
        <v>1872</v>
      </c>
      <c r="B346" s="1" t="str">
        <f>"791390380321"</f>
        <v>791390380321</v>
      </c>
      <c r="C346" s="1" t="s">
        <v>1873</v>
      </c>
      <c r="D346" s="2" t="s">
        <v>1867</v>
      </c>
      <c r="E346" s="1" t="s">
        <v>2819</v>
      </c>
      <c r="F346" s="1" t="s">
        <v>1868</v>
      </c>
      <c r="G346" s="1" t="s">
        <v>2219</v>
      </c>
      <c r="H346" s="1" t="s">
        <v>1869</v>
      </c>
      <c r="I346" s="1" t="s">
        <v>2257</v>
      </c>
      <c r="J346" s="1" t="s">
        <v>1663</v>
      </c>
      <c r="K346" s="3">
        <v>57</v>
      </c>
      <c r="L346" s="4">
        <v>65</v>
      </c>
      <c r="M346" s="4">
        <f t="shared" si="5"/>
        <v>3705</v>
      </c>
    </row>
    <row r="347" spans="1:13" ht="15.75" customHeight="1">
      <c r="A347" s="1" t="s">
        <v>1874</v>
      </c>
      <c r="B347" s="1" t="str">
        <f>"791390380352"</f>
        <v>791390380352</v>
      </c>
      <c r="C347" s="1" t="s">
        <v>1875</v>
      </c>
      <c r="D347" s="2" t="s">
        <v>1867</v>
      </c>
      <c r="E347" s="1" t="s">
        <v>2819</v>
      </c>
      <c r="F347" s="1" t="s">
        <v>1868</v>
      </c>
      <c r="G347" s="1" t="s">
        <v>2418</v>
      </c>
      <c r="H347" s="1" t="s">
        <v>1869</v>
      </c>
      <c r="I347" s="1" t="s">
        <v>2257</v>
      </c>
      <c r="J347" s="1" t="s">
        <v>1663</v>
      </c>
      <c r="K347" s="3">
        <v>11</v>
      </c>
      <c r="L347" s="4">
        <v>65</v>
      </c>
      <c r="M347" s="4">
        <f t="shared" si="5"/>
        <v>715</v>
      </c>
    </row>
    <row r="348" spans="1:13" ht="15.75" customHeight="1">
      <c r="A348" s="1" t="s">
        <v>1876</v>
      </c>
      <c r="B348" s="1" t="str">
        <f>"791390380284"</f>
        <v>791390380284</v>
      </c>
      <c r="C348" s="1" t="s">
        <v>1877</v>
      </c>
      <c r="D348" s="2" t="s">
        <v>1878</v>
      </c>
      <c r="E348" s="1" t="s">
        <v>2819</v>
      </c>
      <c r="F348" s="1" t="s">
        <v>1661</v>
      </c>
      <c r="G348" s="1" t="s">
        <v>2211</v>
      </c>
      <c r="H348" s="1" t="s">
        <v>1879</v>
      </c>
      <c r="I348" s="1" t="s">
        <v>2257</v>
      </c>
      <c r="J348" s="1" t="s">
        <v>1663</v>
      </c>
      <c r="K348" s="3">
        <v>124</v>
      </c>
      <c r="L348" s="4">
        <v>65</v>
      </c>
      <c r="M348" s="4">
        <f t="shared" si="5"/>
        <v>8060</v>
      </c>
    </row>
    <row r="349" spans="1:13" ht="15.75" customHeight="1">
      <c r="A349" s="1" t="s">
        <v>1880</v>
      </c>
      <c r="B349" s="1" t="str">
        <f>"791390380277"</f>
        <v>791390380277</v>
      </c>
      <c r="C349" s="1" t="s">
        <v>1881</v>
      </c>
      <c r="D349" s="2" t="s">
        <v>1878</v>
      </c>
      <c r="E349" s="1" t="s">
        <v>2819</v>
      </c>
      <c r="F349" s="1" t="s">
        <v>1661</v>
      </c>
      <c r="G349" s="1" t="s">
        <v>2411</v>
      </c>
      <c r="H349" s="1" t="s">
        <v>1879</v>
      </c>
      <c r="I349" s="1" t="s">
        <v>2257</v>
      </c>
      <c r="J349" s="1" t="s">
        <v>1663</v>
      </c>
      <c r="K349" s="3">
        <v>112</v>
      </c>
      <c r="L349" s="4">
        <v>65</v>
      </c>
      <c r="M349" s="4">
        <f t="shared" si="5"/>
        <v>7280</v>
      </c>
    </row>
    <row r="350" spans="1:13" ht="15.75" customHeight="1">
      <c r="A350" s="1" t="s">
        <v>1882</v>
      </c>
      <c r="B350" s="1" t="str">
        <f>"791390379905"</f>
        <v>791390379905</v>
      </c>
      <c r="C350" s="1" t="s">
        <v>1883</v>
      </c>
      <c r="D350" s="2" t="s">
        <v>1878</v>
      </c>
      <c r="E350" s="1" t="s">
        <v>2819</v>
      </c>
      <c r="F350" s="1" t="s">
        <v>1661</v>
      </c>
      <c r="G350" s="1" t="s">
        <v>2219</v>
      </c>
      <c r="H350" s="1" t="s">
        <v>1879</v>
      </c>
      <c r="I350" s="1" t="s">
        <v>2257</v>
      </c>
      <c r="J350" s="1" t="s">
        <v>1663</v>
      </c>
      <c r="K350" s="3">
        <v>57</v>
      </c>
      <c r="L350" s="4">
        <v>65</v>
      </c>
      <c r="M350" s="4">
        <f t="shared" si="5"/>
        <v>3705</v>
      </c>
    </row>
    <row r="351" spans="1:13" ht="15.75" customHeight="1">
      <c r="A351" s="1" t="s">
        <v>1884</v>
      </c>
      <c r="B351" s="1" t="str">
        <f>"791390380291"</f>
        <v>791390380291</v>
      </c>
      <c r="C351" s="1" t="s">
        <v>1885</v>
      </c>
      <c r="D351" s="2" t="s">
        <v>1878</v>
      </c>
      <c r="E351" s="1" t="s">
        <v>2819</v>
      </c>
      <c r="F351" s="1" t="s">
        <v>1661</v>
      </c>
      <c r="G351" s="1" t="s">
        <v>2418</v>
      </c>
      <c r="H351" s="1" t="s">
        <v>1879</v>
      </c>
      <c r="I351" s="1" t="s">
        <v>2257</v>
      </c>
      <c r="J351" s="1" t="s">
        <v>1663</v>
      </c>
      <c r="K351" s="3">
        <v>53</v>
      </c>
      <c r="L351" s="4">
        <v>65</v>
      </c>
      <c r="M351" s="4">
        <f t="shared" si="5"/>
        <v>3445</v>
      </c>
    </row>
    <row r="352" spans="1:13" ht="15.75" customHeight="1">
      <c r="A352" s="1" t="s">
        <v>1886</v>
      </c>
      <c r="B352" s="1" t="str">
        <f>"791390521472"</f>
        <v>791390521472</v>
      </c>
      <c r="C352" s="1" t="s">
        <v>1887</v>
      </c>
      <c r="D352" s="2" t="s">
        <v>1888</v>
      </c>
      <c r="E352" s="1" t="s">
        <v>2819</v>
      </c>
      <c r="F352" s="1" t="s">
        <v>1889</v>
      </c>
      <c r="G352" s="1" t="s">
        <v>2211</v>
      </c>
      <c r="H352" s="1" t="s">
        <v>1890</v>
      </c>
      <c r="I352" s="1" t="s">
        <v>2257</v>
      </c>
      <c r="J352" s="1" t="s">
        <v>1663</v>
      </c>
      <c r="K352" s="3">
        <v>66</v>
      </c>
      <c r="L352" s="4">
        <v>65</v>
      </c>
      <c r="M352" s="4">
        <f t="shared" si="5"/>
        <v>4290</v>
      </c>
    </row>
    <row r="353" spans="1:13" ht="15.75" customHeight="1">
      <c r="A353" s="1" t="s">
        <v>1891</v>
      </c>
      <c r="B353" s="1" t="str">
        <f>"791390521465"</f>
        <v>791390521465</v>
      </c>
      <c r="C353" s="1" t="s">
        <v>1892</v>
      </c>
      <c r="D353" s="2" t="s">
        <v>1888</v>
      </c>
      <c r="E353" s="1" t="s">
        <v>2819</v>
      </c>
      <c r="F353" s="1" t="s">
        <v>1889</v>
      </c>
      <c r="G353" s="1" t="s">
        <v>2411</v>
      </c>
      <c r="H353" s="1" t="s">
        <v>1890</v>
      </c>
      <c r="I353" s="1" t="s">
        <v>2257</v>
      </c>
      <c r="J353" s="1" t="s">
        <v>1663</v>
      </c>
      <c r="K353" s="3">
        <v>87</v>
      </c>
      <c r="L353" s="4">
        <v>65</v>
      </c>
      <c r="M353" s="4">
        <f t="shared" si="5"/>
        <v>5655</v>
      </c>
    </row>
    <row r="354" spans="1:13" ht="15.75" customHeight="1">
      <c r="A354" s="1" t="s">
        <v>1893</v>
      </c>
      <c r="B354" s="1" t="str">
        <f>"791390521403"</f>
        <v>791390521403</v>
      </c>
      <c r="C354" s="1" t="s">
        <v>1894</v>
      </c>
      <c r="D354" s="2" t="s">
        <v>1888</v>
      </c>
      <c r="E354" s="1" t="s">
        <v>2819</v>
      </c>
      <c r="F354" s="1" t="s">
        <v>1889</v>
      </c>
      <c r="G354" s="1" t="s">
        <v>2219</v>
      </c>
      <c r="H354" s="1" t="s">
        <v>1890</v>
      </c>
      <c r="I354" s="1" t="s">
        <v>2257</v>
      </c>
      <c r="J354" s="1" t="s">
        <v>1663</v>
      </c>
      <c r="K354" s="3">
        <v>34</v>
      </c>
      <c r="L354" s="4">
        <v>65</v>
      </c>
      <c r="M354" s="4">
        <f t="shared" si="5"/>
        <v>2210</v>
      </c>
    </row>
    <row r="355" spans="1:13" ht="15.75" customHeight="1">
      <c r="A355" s="1" t="s">
        <v>1658</v>
      </c>
      <c r="B355" s="1" t="str">
        <f>"791390521366"</f>
        <v>791390521366</v>
      </c>
      <c r="C355" s="1" t="s">
        <v>1659</v>
      </c>
      <c r="D355" s="2" t="s">
        <v>1660</v>
      </c>
      <c r="E355" s="1" t="s">
        <v>2819</v>
      </c>
      <c r="F355" s="1" t="s">
        <v>1661</v>
      </c>
      <c r="G355" s="1" t="s">
        <v>2211</v>
      </c>
      <c r="H355" s="1" t="s">
        <v>1662</v>
      </c>
      <c r="I355" s="1" t="s">
        <v>2257</v>
      </c>
      <c r="J355" s="1" t="s">
        <v>1663</v>
      </c>
      <c r="K355" s="3">
        <v>181</v>
      </c>
      <c r="L355" s="4">
        <v>65</v>
      </c>
      <c r="M355" s="4">
        <f t="shared" si="5"/>
        <v>11765</v>
      </c>
    </row>
    <row r="356" spans="1:13" ht="15.75" customHeight="1">
      <c r="A356" s="1" t="s">
        <v>1664</v>
      </c>
      <c r="B356" s="1" t="str">
        <f>"791390521304"</f>
        <v>791390521304</v>
      </c>
      <c r="C356" s="1" t="s">
        <v>1665</v>
      </c>
      <c r="D356" s="2" t="s">
        <v>1660</v>
      </c>
      <c r="E356" s="1" t="s">
        <v>2819</v>
      </c>
      <c r="F356" s="1" t="s">
        <v>1661</v>
      </c>
      <c r="G356" s="1" t="s">
        <v>2411</v>
      </c>
      <c r="H356" s="1" t="s">
        <v>1662</v>
      </c>
      <c r="I356" s="1" t="s">
        <v>2257</v>
      </c>
      <c r="J356" s="1" t="s">
        <v>1663</v>
      </c>
      <c r="K356" s="3">
        <v>188</v>
      </c>
      <c r="L356" s="4">
        <v>65</v>
      </c>
      <c r="M356" s="4">
        <f t="shared" si="5"/>
        <v>12220</v>
      </c>
    </row>
    <row r="357" spans="1:13" ht="15.75" customHeight="1">
      <c r="A357" s="1" t="s">
        <v>1666</v>
      </c>
      <c r="B357" s="1" t="str">
        <f>"791390521298"</f>
        <v>791390521298</v>
      </c>
      <c r="C357" s="1" t="s">
        <v>1667</v>
      </c>
      <c r="D357" s="2" t="s">
        <v>1660</v>
      </c>
      <c r="E357" s="1" t="s">
        <v>2819</v>
      </c>
      <c r="F357" s="1" t="s">
        <v>1661</v>
      </c>
      <c r="G357" s="1" t="s">
        <v>2219</v>
      </c>
      <c r="H357" s="1" t="s">
        <v>1662</v>
      </c>
      <c r="I357" s="1" t="s">
        <v>2257</v>
      </c>
      <c r="J357" s="1" t="s">
        <v>1663</v>
      </c>
      <c r="K357" s="3">
        <v>79</v>
      </c>
      <c r="L357" s="4">
        <v>65</v>
      </c>
      <c r="M357" s="4">
        <f t="shared" si="5"/>
        <v>5135</v>
      </c>
    </row>
    <row r="358" spans="1:13" ht="15.75" customHeight="1">
      <c r="A358" s="1" t="s">
        <v>1668</v>
      </c>
      <c r="B358" s="1" t="str">
        <f>"791390521373"</f>
        <v>791390521373</v>
      </c>
      <c r="C358" s="1" t="s">
        <v>1669</v>
      </c>
      <c r="D358" s="2" t="s">
        <v>1660</v>
      </c>
      <c r="E358" s="1" t="s">
        <v>2819</v>
      </c>
      <c r="F358" s="1" t="s">
        <v>1661</v>
      </c>
      <c r="G358" s="1" t="s">
        <v>2418</v>
      </c>
      <c r="H358" s="1" t="s">
        <v>1662</v>
      </c>
      <c r="I358" s="1" t="s">
        <v>2257</v>
      </c>
      <c r="J358" s="1" t="s">
        <v>1663</v>
      </c>
      <c r="K358" s="3">
        <v>66</v>
      </c>
      <c r="L358" s="4">
        <v>65</v>
      </c>
      <c r="M358" s="4">
        <f t="shared" si="5"/>
        <v>4290</v>
      </c>
    </row>
    <row r="359" spans="1:13" ht="15.75" customHeight="1">
      <c r="A359" s="1" t="s">
        <v>1895</v>
      </c>
      <c r="B359" s="1" t="str">
        <f>"791390213315"</f>
        <v>791390213315</v>
      </c>
      <c r="C359" s="1" t="s">
        <v>1896</v>
      </c>
      <c r="D359" s="2" t="s">
        <v>1897</v>
      </c>
      <c r="E359" s="1" t="s">
        <v>2819</v>
      </c>
      <c r="F359" s="1" t="s">
        <v>1898</v>
      </c>
      <c r="G359" s="1" t="s">
        <v>2411</v>
      </c>
      <c r="H359" s="1" t="s">
        <v>1674</v>
      </c>
      <c r="I359" s="1" t="s">
        <v>2257</v>
      </c>
      <c r="J359" s="1" t="s">
        <v>2793</v>
      </c>
      <c r="K359" s="3">
        <v>80</v>
      </c>
      <c r="L359" s="4">
        <v>65</v>
      </c>
      <c r="M359" s="4">
        <f t="shared" si="5"/>
        <v>5200</v>
      </c>
    </row>
    <row r="360" spans="1:13" ht="15.75" customHeight="1">
      <c r="A360" s="1" t="s">
        <v>1899</v>
      </c>
      <c r="B360" s="1" t="str">
        <f>"791390213308"</f>
        <v>791390213308</v>
      </c>
      <c r="C360" s="1" t="s">
        <v>1900</v>
      </c>
      <c r="D360" s="2" t="s">
        <v>1897</v>
      </c>
      <c r="E360" s="1" t="s">
        <v>2819</v>
      </c>
      <c r="F360" s="1" t="s">
        <v>1898</v>
      </c>
      <c r="G360" s="1" t="s">
        <v>2219</v>
      </c>
      <c r="H360" s="1" t="s">
        <v>1674</v>
      </c>
      <c r="I360" s="1" t="s">
        <v>2257</v>
      </c>
      <c r="J360" s="1" t="s">
        <v>2793</v>
      </c>
      <c r="K360" s="3">
        <v>71</v>
      </c>
      <c r="L360" s="4">
        <v>65</v>
      </c>
      <c r="M360" s="4">
        <f t="shared" si="5"/>
        <v>4615</v>
      </c>
    </row>
    <row r="361" spans="1:13" ht="15.75" customHeight="1">
      <c r="A361" s="1" t="s">
        <v>1670</v>
      </c>
      <c r="B361" s="1" t="str">
        <f>"791390213506"</f>
        <v>791390213506</v>
      </c>
      <c r="C361" s="1" t="s">
        <v>1671</v>
      </c>
      <c r="D361" s="2" t="s">
        <v>1672</v>
      </c>
      <c r="E361" s="1" t="s">
        <v>2819</v>
      </c>
      <c r="F361" s="1" t="s">
        <v>1673</v>
      </c>
      <c r="G361" s="1" t="s">
        <v>2211</v>
      </c>
      <c r="H361" s="1" t="s">
        <v>1674</v>
      </c>
      <c r="I361" s="1" t="s">
        <v>2257</v>
      </c>
      <c r="J361" s="1" t="s">
        <v>2793</v>
      </c>
      <c r="K361" s="3">
        <v>400</v>
      </c>
      <c r="L361" s="4">
        <v>65</v>
      </c>
      <c r="M361" s="4">
        <f t="shared" si="5"/>
        <v>26000</v>
      </c>
    </row>
    <row r="362" spans="1:13" ht="15.75" customHeight="1">
      <c r="A362" s="1" t="s">
        <v>1675</v>
      </c>
      <c r="B362" s="1" t="str">
        <f>"791390213490"</f>
        <v>791390213490</v>
      </c>
      <c r="C362" s="1" t="s">
        <v>1676</v>
      </c>
      <c r="D362" s="2" t="s">
        <v>1672</v>
      </c>
      <c r="E362" s="1" t="s">
        <v>2819</v>
      </c>
      <c r="F362" s="1" t="s">
        <v>1673</v>
      </c>
      <c r="G362" s="1" t="s">
        <v>2411</v>
      </c>
      <c r="H362" s="1" t="s">
        <v>1674</v>
      </c>
      <c r="I362" s="1" t="s">
        <v>2257</v>
      </c>
      <c r="J362" s="1" t="s">
        <v>2793</v>
      </c>
      <c r="K362" s="3">
        <v>461</v>
      </c>
      <c r="L362" s="4">
        <v>65</v>
      </c>
      <c r="M362" s="4">
        <f t="shared" si="5"/>
        <v>29965</v>
      </c>
    </row>
    <row r="363" spans="1:13" ht="15.75" customHeight="1">
      <c r="A363" s="1" t="s">
        <v>1677</v>
      </c>
      <c r="B363" s="1" t="str">
        <f>"791390213483"</f>
        <v>791390213483</v>
      </c>
      <c r="C363" s="1" t="s">
        <v>1678</v>
      </c>
      <c r="D363" s="2" t="s">
        <v>1672</v>
      </c>
      <c r="E363" s="1" t="s">
        <v>2819</v>
      </c>
      <c r="F363" s="1" t="s">
        <v>1673</v>
      </c>
      <c r="G363" s="1" t="s">
        <v>2219</v>
      </c>
      <c r="H363" s="1" t="s">
        <v>1674</v>
      </c>
      <c r="I363" s="1" t="s">
        <v>2257</v>
      </c>
      <c r="J363" s="1" t="s">
        <v>2793</v>
      </c>
      <c r="K363" s="3">
        <v>202</v>
      </c>
      <c r="L363" s="4">
        <v>65</v>
      </c>
      <c r="M363" s="4">
        <f t="shared" si="5"/>
        <v>13130</v>
      </c>
    </row>
    <row r="364" spans="1:13" ht="15.75" customHeight="1">
      <c r="A364" s="1" t="s">
        <v>1679</v>
      </c>
      <c r="B364" s="1" t="str">
        <f>"791390213513"</f>
        <v>791390213513</v>
      </c>
      <c r="C364" s="1" t="s">
        <v>1680</v>
      </c>
      <c r="D364" s="2" t="s">
        <v>1672</v>
      </c>
      <c r="E364" s="1" t="s">
        <v>2819</v>
      </c>
      <c r="F364" s="1" t="s">
        <v>1673</v>
      </c>
      <c r="G364" s="1" t="s">
        <v>2418</v>
      </c>
      <c r="H364" s="1" t="s">
        <v>1674</v>
      </c>
      <c r="I364" s="1" t="s">
        <v>2257</v>
      </c>
      <c r="J364" s="1" t="s">
        <v>2793</v>
      </c>
      <c r="K364" s="3">
        <v>123</v>
      </c>
      <c r="L364" s="4">
        <v>65</v>
      </c>
      <c r="M364" s="4">
        <f t="shared" si="5"/>
        <v>7995</v>
      </c>
    </row>
    <row r="365" spans="1:13" ht="15.75" customHeight="1">
      <c r="A365" s="1" t="s">
        <v>1901</v>
      </c>
      <c r="B365" s="1" t="str">
        <f>"791390213261"</f>
        <v>791390213261</v>
      </c>
      <c r="C365" s="1" t="s">
        <v>1902</v>
      </c>
      <c r="D365" s="2" t="s">
        <v>1683</v>
      </c>
      <c r="E365" s="1" t="s">
        <v>2819</v>
      </c>
      <c r="F365" s="1" t="s">
        <v>1684</v>
      </c>
      <c r="G365" s="1" t="s">
        <v>2211</v>
      </c>
      <c r="H365" s="1" t="s">
        <v>1685</v>
      </c>
      <c r="I365" s="1" t="s">
        <v>2257</v>
      </c>
      <c r="J365" s="1" t="s">
        <v>2793</v>
      </c>
      <c r="K365" s="3">
        <v>4</v>
      </c>
      <c r="L365" s="4">
        <v>65</v>
      </c>
      <c r="M365" s="4">
        <f t="shared" si="5"/>
        <v>260</v>
      </c>
    </row>
    <row r="366" spans="1:13" ht="15.75" customHeight="1">
      <c r="A366" s="1" t="s">
        <v>1903</v>
      </c>
      <c r="B366" s="1" t="str">
        <f>"196730076559"</f>
        <v>196730076559</v>
      </c>
      <c r="C366" s="1" t="s">
        <v>1904</v>
      </c>
      <c r="D366" s="2" t="s">
        <v>1905</v>
      </c>
      <c r="E366" s="1" t="s">
        <v>2819</v>
      </c>
      <c r="F366" s="1" t="s">
        <v>1906</v>
      </c>
      <c r="G366" s="1" t="s">
        <v>2411</v>
      </c>
      <c r="H366" s="1" t="s">
        <v>1907</v>
      </c>
      <c r="I366" s="1" t="s">
        <v>2257</v>
      </c>
      <c r="J366" s="1" t="s">
        <v>2844</v>
      </c>
      <c r="K366" s="3">
        <v>19</v>
      </c>
      <c r="L366" s="4">
        <v>185</v>
      </c>
      <c r="M366" s="4">
        <f t="shared" si="5"/>
        <v>3515</v>
      </c>
    </row>
    <row r="367" spans="1:13" ht="15.75" customHeight="1">
      <c r="A367" s="1" t="s">
        <v>1908</v>
      </c>
      <c r="B367" s="1" t="str">
        <f>"196096975480"</f>
        <v>196096975480</v>
      </c>
      <c r="C367" s="1" t="s">
        <v>1909</v>
      </c>
      <c r="D367" s="2" t="s">
        <v>1910</v>
      </c>
      <c r="E367" s="1" t="s">
        <v>2819</v>
      </c>
      <c r="F367" s="1" t="s">
        <v>1911</v>
      </c>
      <c r="G367" s="1" t="s">
        <v>2211</v>
      </c>
      <c r="H367" s="1" t="s">
        <v>1762</v>
      </c>
      <c r="I367" s="1" t="s">
        <v>2257</v>
      </c>
      <c r="J367" s="1" t="s">
        <v>2815</v>
      </c>
      <c r="K367" s="3">
        <v>6</v>
      </c>
      <c r="L367" s="4">
        <v>165</v>
      </c>
      <c r="M367" s="4">
        <f t="shared" si="5"/>
        <v>990</v>
      </c>
    </row>
    <row r="368" spans="1:13" ht="15.75" customHeight="1">
      <c r="A368" s="1" t="s">
        <v>1912</v>
      </c>
      <c r="B368" s="1" t="str">
        <f>"196096975473"</f>
        <v>196096975473</v>
      </c>
      <c r="C368" s="1" t="s">
        <v>1913</v>
      </c>
      <c r="D368" s="2" t="s">
        <v>1910</v>
      </c>
      <c r="E368" s="1" t="s">
        <v>2819</v>
      </c>
      <c r="F368" s="1" t="s">
        <v>1911</v>
      </c>
      <c r="G368" s="1" t="s">
        <v>2411</v>
      </c>
      <c r="H368" s="1" t="s">
        <v>1762</v>
      </c>
      <c r="I368" s="1" t="s">
        <v>2257</v>
      </c>
      <c r="J368" s="1" t="s">
        <v>2815</v>
      </c>
      <c r="K368" s="3">
        <v>55</v>
      </c>
      <c r="L368" s="4">
        <v>165</v>
      </c>
      <c r="M368" s="4">
        <f t="shared" si="5"/>
        <v>9075</v>
      </c>
    </row>
    <row r="369" spans="1:13" ht="15.75" customHeight="1">
      <c r="A369" s="1" t="s">
        <v>1914</v>
      </c>
      <c r="B369" s="1" t="str">
        <f>"196096975466"</f>
        <v>196096975466</v>
      </c>
      <c r="C369" s="1" t="s">
        <v>1915</v>
      </c>
      <c r="D369" s="2" t="s">
        <v>1910</v>
      </c>
      <c r="E369" s="1" t="s">
        <v>2819</v>
      </c>
      <c r="F369" s="1" t="s">
        <v>1911</v>
      </c>
      <c r="G369" s="1" t="s">
        <v>2219</v>
      </c>
      <c r="H369" s="1" t="s">
        <v>1762</v>
      </c>
      <c r="I369" s="1" t="s">
        <v>2257</v>
      </c>
      <c r="J369" s="1" t="s">
        <v>2815</v>
      </c>
      <c r="K369" s="3">
        <v>31</v>
      </c>
      <c r="L369" s="4">
        <v>165</v>
      </c>
      <c r="M369" s="4">
        <f t="shared" si="5"/>
        <v>5115</v>
      </c>
    </row>
    <row r="370" spans="1:13" ht="15.75" customHeight="1">
      <c r="A370" s="1" t="s">
        <v>1916</v>
      </c>
      <c r="B370" s="1" t="str">
        <f>"196096975558"</f>
        <v>196096975558</v>
      </c>
      <c r="C370" s="1" t="s">
        <v>1917</v>
      </c>
      <c r="D370" s="2" t="s">
        <v>1918</v>
      </c>
      <c r="E370" s="1" t="s">
        <v>2819</v>
      </c>
      <c r="F370" s="1" t="s">
        <v>1919</v>
      </c>
      <c r="G370" s="1" t="s">
        <v>2411</v>
      </c>
      <c r="H370" s="1" t="s">
        <v>1762</v>
      </c>
      <c r="I370" s="1" t="s">
        <v>2257</v>
      </c>
      <c r="J370" s="1" t="s">
        <v>2815</v>
      </c>
      <c r="K370" s="3">
        <v>42</v>
      </c>
      <c r="L370" s="4">
        <v>165</v>
      </c>
      <c r="M370" s="4">
        <f t="shared" si="5"/>
        <v>6930</v>
      </c>
    </row>
    <row r="371" spans="1:13" ht="15.75" customHeight="1">
      <c r="A371" s="1" t="s">
        <v>1920</v>
      </c>
      <c r="B371" s="1" t="str">
        <f>"196096975541"</f>
        <v>196096975541</v>
      </c>
      <c r="C371" s="1" t="s">
        <v>1921</v>
      </c>
      <c r="D371" s="2" t="s">
        <v>1918</v>
      </c>
      <c r="E371" s="1" t="s">
        <v>2819</v>
      </c>
      <c r="F371" s="1" t="s">
        <v>1919</v>
      </c>
      <c r="G371" s="1" t="s">
        <v>2219</v>
      </c>
      <c r="H371" s="1" t="s">
        <v>1762</v>
      </c>
      <c r="I371" s="1" t="s">
        <v>2257</v>
      </c>
      <c r="J371" s="1" t="s">
        <v>2815</v>
      </c>
      <c r="K371" s="3">
        <v>32</v>
      </c>
      <c r="L371" s="4">
        <v>165</v>
      </c>
      <c r="M371" s="4">
        <f t="shared" si="5"/>
        <v>5280</v>
      </c>
    </row>
    <row r="372" spans="1:13" ht="15.75" customHeight="1">
      <c r="A372" s="1" t="s">
        <v>1922</v>
      </c>
      <c r="B372" s="1" t="str">
        <f>"196096978658"</f>
        <v>196096978658</v>
      </c>
      <c r="C372" s="1" t="s">
        <v>1923</v>
      </c>
      <c r="D372" s="2" t="s">
        <v>1924</v>
      </c>
      <c r="E372" s="1" t="s">
        <v>2819</v>
      </c>
      <c r="F372" s="1" t="s">
        <v>1925</v>
      </c>
      <c r="G372" s="1" t="s">
        <v>2211</v>
      </c>
      <c r="H372" s="1" t="s">
        <v>1926</v>
      </c>
      <c r="I372" s="1" t="s">
        <v>2257</v>
      </c>
      <c r="J372" s="1" t="s">
        <v>2815</v>
      </c>
      <c r="K372" s="3">
        <v>9</v>
      </c>
      <c r="L372" s="4">
        <v>145</v>
      </c>
      <c r="M372" s="4">
        <f t="shared" si="5"/>
        <v>1305</v>
      </c>
    </row>
    <row r="373" spans="1:13" ht="15.75" customHeight="1">
      <c r="A373" s="1" t="s">
        <v>1927</v>
      </c>
      <c r="B373" s="1" t="str">
        <f>"196096978641"</f>
        <v>196096978641</v>
      </c>
      <c r="C373" s="1" t="s">
        <v>1928</v>
      </c>
      <c r="D373" s="2" t="s">
        <v>1924</v>
      </c>
      <c r="E373" s="1" t="s">
        <v>2819</v>
      </c>
      <c r="F373" s="1" t="s">
        <v>1925</v>
      </c>
      <c r="G373" s="1" t="s">
        <v>2411</v>
      </c>
      <c r="H373" s="1" t="s">
        <v>1926</v>
      </c>
      <c r="I373" s="1" t="s">
        <v>2257</v>
      </c>
      <c r="J373" s="1" t="s">
        <v>2815</v>
      </c>
      <c r="K373" s="3">
        <v>39</v>
      </c>
      <c r="L373" s="4">
        <v>145</v>
      </c>
      <c r="M373" s="4">
        <f t="shared" si="5"/>
        <v>5655</v>
      </c>
    </row>
    <row r="374" spans="1:13" ht="15.75" customHeight="1">
      <c r="A374" s="1" t="s">
        <v>1929</v>
      </c>
      <c r="B374" s="1" t="str">
        <f>"196064358901"</f>
        <v>196064358901</v>
      </c>
      <c r="C374" s="1" t="s">
        <v>1930</v>
      </c>
      <c r="D374" s="2" t="s">
        <v>1931</v>
      </c>
      <c r="E374" s="1" t="s">
        <v>2819</v>
      </c>
      <c r="F374" s="1" t="s">
        <v>2210</v>
      </c>
      <c r="G374" s="1" t="str">
        <f>"10"</f>
        <v>10</v>
      </c>
      <c r="H374" s="1" t="s">
        <v>1932</v>
      </c>
      <c r="I374" s="1" t="s">
        <v>2257</v>
      </c>
      <c r="J374" s="1" t="s">
        <v>2230</v>
      </c>
      <c r="K374" s="3">
        <v>11</v>
      </c>
      <c r="L374" s="4">
        <v>90</v>
      </c>
      <c r="M374" s="4">
        <f t="shared" si="5"/>
        <v>990</v>
      </c>
    </row>
    <row r="375" spans="1:13" ht="15.75" customHeight="1">
      <c r="A375" s="1" t="s">
        <v>1933</v>
      </c>
      <c r="B375" s="1" t="str">
        <f>"196064358918"</f>
        <v>196064358918</v>
      </c>
      <c r="C375" s="1" t="s">
        <v>1934</v>
      </c>
      <c r="D375" s="2" t="s">
        <v>1931</v>
      </c>
      <c r="E375" s="1" t="s">
        <v>2819</v>
      </c>
      <c r="F375" s="1" t="s">
        <v>2210</v>
      </c>
      <c r="G375" s="1" t="str">
        <f>"11"</f>
        <v>11</v>
      </c>
      <c r="H375" s="1" t="s">
        <v>1932</v>
      </c>
      <c r="I375" s="1" t="s">
        <v>2257</v>
      </c>
      <c r="J375" s="1" t="s">
        <v>2230</v>
      </c>
      <c r="K375" s="3">
        <v>7</v>
      </c>
      <c r="L375" s="4">
        <v>90</v>
      </c>
      <c r="M375" s="4">
        <f t="shared" si="5"/>
        <v>630</v>
      </c>
    </row>
    <row r="376" spans="1:13" ht="15.75" customHeight="1">
      <c r="A376" s="1" t="s">
        <v>1935</v>
      </c>
      <c r="B376" s="1" t="str">
        <f>"196064358864"</f>
        <v>196064358864</v>
      </c>
      <c r="C376" s="1" t="s">
        <v>1936</v>
      </c>
      <c r="D376" s="2" t="s">
        <v>1931</v>
      </c>
      <c r="E376" s="1" t="s">
        <v>2819</v>
      </c>
      <c r="F376" s="1" t="s">
        <v>2210</v>
      </c>
      <c r="G376" s="1" t="str">
        <f>"6"</f>
        <v>6</v>
      </c>
      <c r="H376" s="1" t="s">
        <v>1932</v>
      </c>
      <c r="I376" s="1" t="s">
        <v>2257</v>
      </c>
      <c r="J376" s="1" t="s">
        <v>2230</v>
      </c>
      <c r="K376" s="3">
        <v>3</v>
      </c>
      <c r="L376" s="4">
        <v>90</v>
      </c>
      <c r="M376" s="4">
        <f t="shared" si="5"/>
        <v>270</v>
      </c>
    </row>
    <row r="377" spans="1:13" ht="15.75" customHeight="1">
      <c r="A377" s="1" t="s">
        <v>1937</v>
      </c>
      <c r="B377" s="1" t="str">
        <f>"196064358871"</f>
        <v>196064358871</v>
      </c>
      <c r="C377" s="1" t="s">
        <v>1938</v>
      </c>
      <c r="D377" s="2" t="s">
        <v>1931</v>
      </c>
      <c r="E377" s="1" t="s">
        <v>2819</v>
      </c>
      <c r="F377" s="1" t="s">
        <v>2210</v>
      </c>
      <c r="G377" s="1" t="str">
        <f>"7"</f>
        <v>7</v>
      </c>
      <c r="H377" s="1" t="s">
        <v>1932</v>
      </c>
      <c r="I377" s="1" t="s">
        <v>2257</v>
      </c>
      <c r="J377" s="1" t="s">
        <v>2230</v>
      </c>
      <c r="K377" s="3">
        <v>39</v>
      </c>
      <c r="L377" s="4">
        <v>90</v>
      </c>
      <c r="M377" s="4">
        <f t="shared" si="5"/>
        <v>3510</v>
      </c>
    </row>
    <row r="378" spans="1:13" ht="15.75" customHeight="1">
      <c r="A378" s="1" t="s">
        <v>1939</v>
      </c>
      <c r="B378" s="1" t="str">
        <f>"196064358888"</f>
        <v>196064358888</v>
      </c>
      <c r="C378" s="1" t="s">
        <v>1940</v>
      </c>
      <c r="D378" s="2" t="s">
        <v>1931</v>
      </c>
      <c r="E378" s="1" t="s">
        <v>2819</v>
      </c>
      <c r="F378" s="1" t="s">
        <v>2210</v>
      </c>
      <c r="G378" s="1" t="str">
        <f>"8"</f>
        <v>8</v>
      </c>
      <c r="H378" s="1" t="s">
        <v>1932</v>
      </c>
      <c r="I378" s="1" t="s">
        <v>2257</v>
      </c>
      <c r="J378" s="1" t="s">
        <v>2230</v>
      </c>
      <c r="K378" s="3">
        <v>81</v>
      </c>
      <c r="L378" s="4">
        <v>90</v>
      </c>
      <c r="M378" s="4">
        <f t="shared" si="5"/>
        <v>7290</v>
      </c>
    </row>
    <row r="379" spans="1:13" ht="15.75" customHeight="1">
      <c r="A379" s="1" t="s">
        <v>1941</v>
      </c>
      <c r="B379" s="1" t="str">
        <f>"196064358895"</f>
        <v>196064358895</v>
      </c>
      <c r="C379" s="1" t="s">
        <v>1942</v>
      </c>
      <c r="D379" s="2" t="s">
        <v>1931</v>
      </c>
      <c r="E379" s="1" t="s">
        <v>2819</v>
      </c>
      <c r="F379" s="1" t="s">
        <v>2210</v>
      </c>
      <c r="G379" s="1" t="str">
        <f>"9"</f>
        <v>9</v>
      </c>
      <c r="H379" s="1" t="s">
        <v>1932</v>
      </c>
      <c r="I379" s="1" t="s">
        <v>2257</v>
      </c>
      <c r="J379" s="1" t="s">
        <v>2230</v>
      </c>
      <c r="K379" s="3">
        <v>56</v>
      </c>
      <c r="L379" s="4">
        <v>90</v>
      </c>
      <c r="M379" s="4">
        <f t="shared" si="5"/>
        <v>5040</v>
      </c>
    </row>
    <row r="380" spans="1:13" ht="15.75" customHeight="1">
      <c r="A380" s="1" t="s">
        <v>1943</v>
      </c>
      <c r="B380" s="1" t="str">
        <f>"196064359038"</f>
        <v>196064359038</v>
      </c>
      <c r="C380" s="1" t="s">
        <v>1944</v>
      </c>
      <c r="D380" s="2" t="s">
        <v>1945</v>
      </c>
      <c r="E380" s="1" t="s">
        <v>2819</v>
      </c>
      <c r="F380" s="1" t="s">
        <v>1946</v>
      </c>
      <c r="G380" s="1" t="str">
        <f>"11"</f>
        <v>11</v>
      </c>
      <c r="H380" s="1" t="s">
        <v>1932</v>
      </c>
      <c r="I380" s="1" t="s">
        <v>2257</v>
      </c>
      <c r="J380" s="1" t="s">
        <v>2230</v>
      </c>
      <c r="K380" s="3">
        <v>3</v>
      </c>
      <c r="L380" s="4">
        <v>90</v>
      </c>
      <c r="M380" s="4">
        <f t="shared" si="5"/>
        <v>270</v>
      </c>
    </row>
    <row r="381" spans="1:13" ht="15.75" customHeight="1">
      <c r="A381" s="1" t="s">
        <v>1947</v>
      </c>
      <c r="B381" s="1" t="str">
        <f>"196064358987"</f>
        <v>196064358987</v>
      </c>
      <c r="C381" s="1" t="s">
        <v>1948</v>
      </c>
      <c r="D381" s="2" t="s">
        <v>1945</v>
      </c>
      <c r="E381" s="1" t="s">
        <v>2819</v>
      </c>
      <c r="F381" s="1" t="s">
        <v>1946</v>
      </c>
      <c r="G381" s="1" t="str">
        <f>"6"</f>
        <v>6</v>
      </c>
      <c r="H381" s="1" t="s">
        <v>1932</v>
      </c>
      <c r="I381" s="1" t="s">
        <v>2257</v>
      </c>
      <c r="J381" s="1" t="s">
        <v>2230</v>
      </c>
      <c r="K381" s="3">
        <v>7</v>
      </c>
      <c r="L381" s="4">
        <v>90</v>
      </c>
      <c r="M381" s="4">
        <f t="shared" si="5"/>
        <v>630</v>
      </c>
    </row>
    <row r="382" spans="1:13" ht="15.75" customHeight="1">
      <c r="A382" s="1" t="s">
        <v>1949</v>
      </c>
      <c r="B382" s="1" t="str">
        <f>"196064358994"</f>
        <v>196064358994</v>
      </c>
      <c r="C382" s="1" t="s">
        <v>1950</v>
      </c>
      <c r="D382" s="2" t="s">
        <v>1945</v>
      </c>
      <c r="E382" s="1" t="s">
        <v>2819</v>
      </c>
      <c r="F382" s="1" t="s">
        <v>1946</v>
      </c>
      <c r="G382" s="1" t="str">
        <f>"7"</f>
        <v>7</v>
      </c>
      <c r="H382" s="1" t="s">
        <v>1932</v>
      </c>
      <c r="I382" s="1" t="s">
        <v>2257</v>
      </c>
      <c r="J382" s="1" t="s">
        <v>2230</v>
      </c>
      <c r="K382" s="3">
        <v>26</v>
      </c>
      <c r="L382" s="4">
        <v>90</v>
      </c>
      <c r="M382" s="4">
        <f t="shared" si="5"/>
        <v>2340</v>
      </c>
    </row>
    <row r="383" spans="1:13" ht="15.75" customHeight="1">
      <c r="A383" s="1" t="s">
        <v>1951</v>
      </c>
      <c r="B383" s="1" t="str">
        <f>"196064359007"</f>
        <v>196064359007</v>
      </c>
      <c r="C383" s="1" t="s">
        <v>1952</v>
      </c>
      <c r="D383" s="2" t="s">
        <v>1945</v>
      </c>
      <c r="E383" s="1" t="s">
        <v>2819</v>
      </c>
      <c r="F383" s="1" t="s">
        <v>1946</v>
      </c>
      <c r="G383" s="1" t="str">
        <f>"8"</f>
        <v>8</v>
      </c>
      <c r="H383" s="1" t="s">
        <v>1932</v>
      </c>
      <c r="I383" s="1" t="s">
        <v>2257</v>
      </c>
      <c r="J383" s="1" t="s">
        <v>2230</v>
      </c>
      <c r="K383" s="3">
        <v>76</v>
      </c>
      <c r="L383" s="4">
        <v>90</v>
      </c>
      <c r="M383" s="4">
        <f t="shared" si="5"/>
        <v>6840</v>
      </c>
    </row>
    <row r="384" spans="1:13" ht="15.75" customHeight="1">
      <c r="A384" s="1" t="s">
        <v>1953</v>
      </c>
      <c r="B384" s="1" t="str">
        <f>"196064359014"</f>
        <v>196064359014</v>
      </c>
      <c r="C384" s="1" t="s">
        <v>1954</v>
      </c>
      <c r="D384" s="2" t="s">
        <v>1945</v>
      </c>
      <c r="E384" s="1" t="s">
        <v>2819</v>
      </c>
      <c r="F384" s="1" t="s">
        <v>1946</v>
      </c>
      <c r="G384" s="1" t="str">
        <f>"9"</f>
        <v>9</v>
      </c>
      <c r="H384" s="1" t="s">
        <v>1932</v>
      </c>
      <c r="I384" s="1" t="s">
        <v>2257</v>
      </c>
      <c r="J384" s="1" t="s">
        <v>2230</v>
      </c>
      <c r="K384" s="3">
        <v>42</v>
      </c>
      <c r="L384" s="4">
        <v>90</v>
      </c>
      <c r="M384" s="4">
        <f t="shared" si="5"/>
        <v>3780</v>
      </c>
    </row>
    <row r="385" spans="1:13" ht="15.75" customHeight="1">
      <c r="A385" s="1" t="s">
        <v>1955</v>
      </c>
      <c r="B385" s="1" t="str">
        <f>"196064372242"</f>
        <v>196064372242</v>
      </c>
      <c r="C385" s="1" t="s">
        <v>1956</v>
      </c>
      <c r="D385" s="2" t="s">
        <v>1957</v>
      </c>
      <c r="E385" s="1" t="s">
        <v>2819</v>
      </c>
      <c r="F385" s="1" t="s">
        <v>2210</v>
      </c>
      <c r="G385" s="1" t="str">
        <f>"6"</f>
        <v>6</v>
      </c>
      <c r="H385" s="1" t="s">
        <v>1958</v>
      </c>
      <c r="I385" s="1" t="s">
        <v>2257</v>
      </c>
      <c r="J385" s="1" t="s">
        <v>2230</v>
      </c>
      <c r="K385" s="3">
        <v>1</v>
      </c>
      <c r="L385" s="4">
        <v>80</v>
      </c>
      <c r="M385" s="4">
        <f t="shared" si="5"/>
        <v>80</v>
      </c>
    </row>
    <row r="386" spans="1:13" ht="15.75" customHeight="1">
      <c r="A386" s="1" t="s">
        <v>1959</v>
      </c>
      <c r="B386" s="1" t="str">
        <f>"196064372259"</f>
        <v>196064372259</v>
      </c>
      <c r="C386" s="1" t="s">
        <v>1960</v>
      </c>
      <c r="D386" s="2" t="s">
        <v>1957</v>
      </c>
      <c r="E386" s="1" t="s">
        <v>2819</v>
      </c>
      <c r="F386" s="1" t="s">
        <v>2210</v>
      </c>
      <c r="G386" s="1" t="str">
        <f>"7"</f>
        <v>7</v>
      </c>
      <c r="H386" s="1" t="s">
        <v>1958</v>
      </c>
      <c r="I386" s="1" t="s">
        <v>2257</v>
      </c>
      <c r="J386" s="1" t="s">
        <v>2230</v>
      </c>
      <c r="K386" s="3">
        <v>24</v>
      </c>
      <c r="L386" s="4">
        <v>80</v>
      </c>
      <c r="M386" s="4">
        <f t="shared" ref="M386:M449" si="6">L386*K386</f>
        <v>1920</v>
      </c>
    </row>
    <row r="387" spans="1:13" ht="15.75" customHeight="1">
      <c r="A387" s="1" t="s">
        <v>1961</v>
      </c>
      <c r="B387" s="1" t="str">
        <f>"196064372266"</f>
        <v>196064372266</v>
      </c>
      <c r="C387" s="1" t="s">
        <v>1962</v>
      </c>
      <c r="D387" s="2" t="s">
        <v>1957</v>
      </c>
      <c r="E387" s="1" t="s">
        <v>2819</v>
      </c>
      <c r="F387" s="1" t="s">
        <v>2210</v>
      </c>
      <c r="G387" s="1" t="str">
        <f>"8"</f>
        <v>8</v>
      </c>
      <c r="H387" s="1" t="s">
        <v>1958</v>
      </c>
      <c r="I387" s="1" t="s">
        <v>2257</v>
      </c>
      <c r="J387" s="1" t="s">
        <v>2230</v>
      </c>
      <c r="K387" s="3">
        <v>65</v>
      </c>
      <c r="L387" s="4">
        <v>80</v>
      </c>
      <c r="M387" s="4">
        <f t="shared" si="6"/>
        <v>5200</v>
      </c>
    </row>
    <row r="388" spans="1:13" ht="15.75" customHeight="1">
      <c r="A388" s="1" t="s">
        <v>1963</v>
      </c>
      <c r="B388" s="1" t="str">
        <f>"196064372273"</f>
        <v>196064372273</v>
      </c>
      <c r="C388" s="1" t="s">
        <v>1964</v>
      </c>
      <c r="D388" s="2" t="s">
        <v>1957</v>
      </c>
      <c r="E388" s="1" t="s">
        <v>2819</v>
      </c>
      <c r="F388" s="1" t="s">
        <v>2210</v>
      </c>
      <c r="G388" s="1" t="str">
        <f>"9"</f>
        <v>9</v>
      </c>
      <c r="H388" s="1" t="s">
        <v>1958</v>
      </c>
      <c r="I388" s="1" t="s">
        <v>2257</v>
      </c>
      <c r="J388" s="1" t="s">
        <v>2230</v>
      </c>
      <c r="K388" s="3">
        <v>29</v>
      </c>
      <c r="L388" s="4">
        <v>80</v>
      </c>
      <c r="M388" s="4">
        <f t="shared" si="6"/>
        <v>2320</v>
      </c>
    </row>
    <row r="389" spans="1:13" ht="15.75" customHeight="1">
      <c r="A389" s="1" t="s">
        <v>1965</v>
      </c>
      <c r="B389" s="1" t="str">
        <f>"196064372419"</f>
        <v>196064372419</v>
      </c>
      <c r="C389" s="1" t="s">
        <v>1966</v>
      </c>
      <c r="D389" s="2" t="s">
        <v>1967</v>
      </c>
      <c r="E389" s="1" t="s">
        <v>2819</v>
      </c>
      <c r="F389" s="1" t="s">
        <v>1946</v>
      </c>
      <c r="G389" s="1" t="str">
        <f>"11"</f>
        <v>11</v>
      </c>
      <c r="H389" s="1" t="s">
        <v>1958</v>
      </c>
      <c r="I389" s="1" t="s">
        <v>2257</v>
      </c>
      <c r="J389" s="1" t="s">
        <v>2230</v>
      </c>
      <c r="K389" s="3">
        <v>1</v>
      </c>
      <c r="L389" s="4">
        <v>80</v>
      </c>
      <c r="M389" s="4">
        <f t="shared" si="6"/>
        <v>80</v>
      </c>
    </row>
    <row r="390" spans="1:13" ht="15.75" customHeight="1">
      <c r="A390" s="1" t="s">
        <v>1968</v>
      </c>
      <c r="B390" s="1" t="str">
        <f>"196064372372"</f>
        <v>196064372372</v>
      </c>
      <c r="C390" s="1" t="s">
        <v>1969</v>
      </c>
      <c r="D390" s="2" t="s">
        <v>1967</v>
      </c>
      <c r="E390" s="1" t="s">
        <v>2819</v>
      </c>
      <c r="F390" s="1" t="s">
        <v>1946</v>
      </c>
      <c r="G390" s="1" t="str">
        <f>"7"</f>
        <v>7</v>
      </c>
      <c r="H390" s="1" t="s">
        <v>1958</v>
      </c>
      <c r="I390" s="1" t="s">
        <v>2257</v>
      </c>
      <c r="J390" s="1" t="s">
        <v>2230</v>
      </c>
      <c r="K390" s="3">
        <v>6</v>
      </c>
      <c r="L390" s="4">
        <v>80</v>
      </c>
      <c r="M390" s="4">
        <f t="shared" si="6"/>
        <v>480</v>
      </c>
    </row>
    <row r="391" spans="1:13" ht="15.75" customHeight="1">
      <c r="A391" s="1" t="s">
        <v>1970</v>
      </c>
      <c r="B391" s="1" t="str">
        <f>"196064372389"</f>
        <v>196064372389</v>
      </c>
      <c r="C391" s="1" t="s">
        <v>1971</v>
      </c>
      <c r="D391" s="2" t="s">
        <v>1967</v>
      </c>
      <c r="E391" s="1" t="s">
        <v>2819</v>
      </c>
      <c r="F391" s="1" t="s">
        <v>1946</v>
      </c>
      <c r="G391" s="1" t="str">
        <f>"8"</f>
        <v>8</v>
      </c>
      <c r="H391" s="1" t="s">
        <v>1958</v>
      </c>
      <c r="I391" s="1" t="s">
        <v>2257</v>
      </c>
      <c r="J391" s="1" t="s">
        <v>2230</v>
      </c>
      <c r="K391" s="3">
        <v>45</v>
      </c>
      <c r="L391" s="4">
        <v>80</v>
      </c>
      <c r="M391" s="4">
        <f t="shared" si="6"/>
        <v>3600</v>
      </c>
    </row>
    <row r="392" spans="1:13" ht="15.75" customHeight="1">
      <c r="A392" s="1" t="s">
        <v>1972</v>
      </c>
      <c r="B392" s="1" t="str">
        <f>"196064372396"</f>
        <v>196064372396</v>
      </c>
      <c r="C392" s="1" t="s">
        <v>1973</v>
      </c>
      <c r="D392" s="2" t="s">
        <v>1967</v>
      </c>
      <c r="E392" s="1" t="s">
        <v>2819</v>
      </c>
      <c r="F392" s="1" t="s">
        <v>1946</v>
      </c>
      <c r="G392" s="1" t="str">
        <f>"9"</f>
        <v>9</v>
      </c>
      <c r="H392" s="1" t="s">
        <v>1958</v>
      </c>
      <c r="I392" s="1" t="s">
        <v>2257</v>
      </c>
      <c r="J392" s="1" t="s">
        <v>2230</v>
      </c>
      <c r="K392" s="3">
        <v>12</v>
      </c>
      <c r="L392" s="4">
        <v>80</v>
      </c>
      <c r="M392" s="4">
        <f t="shared" si="6"/>
        <v>960</v>
      </c>
    </row>
    <row r="393" spans="1:13" ht="15.75" customHeight="1">
      <c r="A393" s="1" t="s">
        <v>1974</v>
      </c>
      <c r="B393" s="1" t="str">
        <f>"791390521076"</f>
        <v>791390521076</v>
      </c>
      <c r="C393" s="1" t="s">
        <v>1975</v>
      </c>
      <c r="D393" s="2" t="s">
        <v>1976</v>
      </c>
      <c r="E393" s="1" t="s">
        <v>2819</v>
      </c>
      <c r="F393" s="1" t="s">
        <v>1977</v>
      </c>
      <c r="G393" s="1" t="s">
        <v>2211</v>
      </c>
      <c r="H393" s="1" t="s">
        <v>1978</v>
      </c>
      <c r="I393" s="1" t="s">
        <v>2257</v>
      </c>
      <c r="J393" s="1" t="s">
        <v>1979</v>
      </c>
      <c r="K393" s="3">
        <v>18</v>
      </c>
      <c r="L393" s="4">
        <v>80</v>
      </c>
      <c r="M393" s="4">
        <f t="shared" si="6"/>
        <v>1440</v>
      </c>
    </row>
    <row r="394" spans="1:13" ht="15.75" customHeight="1">
      <c r="A394" s="1" t="s">
        <v>1980</v>
      </c>
      <c r="B394" s="1" t="str">
        <f>"791390521069"</f>
        <v>791390521069</v>
      </c>
      <c r="C394" s="1" t="s">
        <v>1981</v>
      </c>
      <c r="D394" s="2" t="s">
        <v>1976</v>
      </c>
      <c r="E394" s="1" t="s">
        <v>2819</v>
      </c>
      <c r="F394" s="1" t="s">
        <v>1977</v>
      </c>
      <c r="G394" s="1" t="s">
        <v>2411</v>
      </c>
      <c r="H394" s="1" t="s">
        <v>1978</v>
      </c>
      <c r="I394" s="1" t="s">
        <v>2257</v>
      </c>
      <c r="J394" s="1" t="s">
        <v>1979</v>
      </c>
      <c r="K394" s="3">
        <v>24</v>
      </c>
      <c r="L394" s="4">
        <v>80</v>
      </c>
      <c r="M394" s="4">
        <f t="shared" si="6"/>
        <v>1920</v>
      </c>
    </row>
    <row r="395" spans="1:13" ht="15.75" customHeight="1">
      <c r="A395" s="1" t="s">
        <v>1982</v>
      </c>
      <c r="B395" s="1" t="str">
        <f>"791390521007"</f>
        <v>791390521007</v>
      </c>
      <c r="C395" s="1" t="s">
        <v>1983</v>
      </c>
      <c r="D395" s="2" t="s">
        <v>1976</v>
      </c>
      <c r="E395" s="1" t="s">
        <v>2819</v>
      </c>
      <c r="F395" s="1" t="s">
        <v>1977</v>
      </c>
      <c r="G395" s="1" t="s">
        <v>2219</v>
      </c>
      <c r="H395" s="1" t="s">
        <v>1978</v>
      </c>
      <c r="I395" s="1" t="s">
        <v>2257</v>
      </c>
      <c r="J395" s="1" t="s">
        <v>1979</v>
      </c>
      <c r="K395" s="3">
        <v>65</v>
      </c>
      <c r="L395" s="4">
        <v>80</v>
      </c>
      <c r="M395" s="4">
        <f t="shared" si="6"/>
        <v>5200</v>
      </c>
    </row>
    <row r="396" spans="1:13" ht="15.75" customHeight="1">
      <c r="A396" s="1" t="s">
        <v>1984</v>
      </c>
      <c r="B396" s="1" t="str">
        <f>"198524013573"</f>
        <v>198524013573</v>
      </c>
      <c r="C396" s="1" t="s">
        <v>1985</v>
      </c>
      <c r="D396" s="2" t="s">
        <v>1986</v>
      </c>
      <c r="E396" s="1" t="s">
        <v>2819</v>
      </c>
      <c r="F396" s="1" t="s">
        <v>2210</v>
      </c>
      <c r="G396" s="1" t="s">
        <v>2211</v>
      </c>
      <c r="H396" s="1" t="s">
        <v>1987</v>
      </c>
      <c r="I396" s="1" t="s">
        <v>2257</v>
      </c>
      <c r="J396" s="1" t="s">
        <v>2815</v>
      </c>
      <c r="K396" s="3">
        <v>314</v>
      </c>
      <c r="L396" s="4">
        <v>120</v>
      </c>
      <c r="M396" s="4">
        <f t="shared" si="6"/>
        <v>37680</v>
      </c>
    </row>
    <row r="397" spans="1:13" ht="15.75" customHeight="1">
      <c r="A397" s="1" t="s">
        <v>1988</v>
      </c>
      <c r="B397" s="1" t="str">
        <f>"198524013566"</f>
        <v>198524013566</v>
      </c>
      <c r="C397" s="1" t="s">
        <v>1989</v>
      </c>
      <c r="D397" s="2" t="s">
        <v>1986</v>
      </c>
      <c r="E397" s="1" t="s">
        <v>2819</v>
      </c>
      <c r="F397" s="1" t="s">
        <v>2210</v>
      </c>
      <c r="G397" s="1" t="s">
        <v>2411</v>
      </c>
      <c r="H397" s="1" t="s">
        <v>1987</v>
      </c>
      <c r="I397" s="1" t="s">
        <v>2257</v>
      </c>
      <c r="J397" s="1" t="s">
        <v>2815</v>
      </c>
      <c r="K397" s="3">
        <v>303</v>
      </c>
      <c r="L397" s="4">
        <v>120</v>
      </c>
      <c r="M397" s="4">
        <f t="shared" si="6"/>
        <v>36360</v>
      </c>
    </row>
    <row r="398" spans="1:13" ht="15.75" customHeight="1">
      <c r="A398" s="1" t="s">
        <v>1990</v>
      </c>
      <c r="B398" s="1" t="str">
        <f>"198524013559"</f>
        <v>198524013559</v>
      </c>
      <c r="C398" s="1" t="s">
        <v>1991</v>
      </c>
      <c r="D398" s="2" t="s">
        <v>1986</v>
      </c>
      <c r="E398" s="1" t="s">
        <v>2819</v>
      </c>
      <c r="F398" s="1" t="s">
        <v>2210</v>
      </c>
      <c r="G398" s="1" t="s">
        <v>2219</v>
      </c>
      <c r="H398" s="1" t="s">
        <v>1987</v>
      </c>
      <c r="I398" s="1" t="s">
        <v>2257</v>
      </c>
      <c r="J398" s="1" t="s">
        <v>2815</v>
      </c>
      <c r="K398" s="3">
        <v>150</v>
      </c>
      <c r="L398" s="4">
        <v>120</v>
      </c>
      <c r="M398" s="4">
        <f t="shared" si="6"/>
        <v>18000</v>
      </c>
    </row>
    <row r="399" spans="1:13" ht="15.75" customHeight="1">
      <c r="A399" s="1" t="s">
        <v>1992</v>
      </c>
      <c r="B399" s="1" t="str">
        <f>"198524013580"</f>
        <v>198524013580</v>
      </c>
      <c r="C399" s="1" t="s">
        <v>1993</v>
      </c>
      <c r="D399" s="2" t="s">
        <v>1986</v>
      </c>
      <c r="E399" s="1" t="s">
        <v>2819</v>
      </c>
      <c r="F399" s="1" t="s">
        <v>2210</v>
      </c>
      <c r="G399" s="1" t="s">
        <v>2418</v>
      </c>
      <c r="H399" s="1" t="s">
        <v>1987</v>
      </c>
      <c r="I399" s="1" t="s">
        <v>2257</v>
      </c>
      <c r="J399" s="1" t="s">
        <v>2815</v>
      </c>
      <c r="K399" s="3">
        <v>110</v>
      </c>
      <c r="L399" s="4">
        <v>120</v>
      </c>
      <c r="M399" s="4">
        <f t="shared" si="6"/>
        <v>13200</v>
      </c>
    </row>
    <row r="400" spans="1:13" ht="15.75" customHeight="1">
      <c r="A400" s="1" t="s">
        <v>1994</v>
      </c>
      <c r="B400" s="1" t="str">
        <f>"196730072988"</f>
        <v>196730072988</v>
      </c>
      <c r="C400" s="1" t="s">
        <v>1995</v>
      </c>
      <c r="D400" s="2" t="s">
        <v>1996</v>
      </c>
      <c r="E400" s="1" t="s">
        <v>2819</v>
      </c>
      <c r="F400" s="1" t="s">
        <v>1997</v>
      </c>
      <c r="G400" s="1" t="s">
        <v>2405</v>
      </c>
      <c r="H400" s="1" t="s">
        <v>1998</v>
      </c>
      <c r="I400" s="1" t="s">
        <v>2220</v>
      </c>
      <c r="J400" s="1" t="s">
        <v>2844</v>
      </c>
      <c r="K400" s="3">
        <v>29</v>
      </c>
      <c r="L400" s="4">
        <v>210</v>
      </c>
      <c r="M400" s="4">
        <f t="shared" si="6"/>
        <v>6090</v>
      </c>
    </row>
    <row r="401" spans="1:13" ht="15.75" customHeight="1">
      <c r="A401" s="1" t="s">
        <v>1999</v>
      </c>
      <c r="B401" s="1" t="str">
        <f>"196730072964"</f>
        <v>196730072964</v>
      </c>
      <c r="C401" s="1" t="s">
        <v>2000</v>
      </c>
      <c r="D401" s="2" t="s">
        <v>1996</v>
      </c>
      <c r="E401" s="1" t="s">
        <v>2819</v>
      </c>
      <c r="F401" s="1" t="s">
        <v>1997</v>
      </c>
      <c r="G401" s="1" t="s">
        <v>2211</v>
      </c>
      <c r="H401" s="1" t="s">
        <v>2001</v>
      </c>
      <c r="I401" s="1" t="s">
        <v>2220</v>
      </c>
      <c r="J401" s="1" t="s">
        <v>2844</v>
      </c>
      <c r="K401" s="3">
        <v>105</v>
      </c>
      <c r="L401" s="4">
        <v>210</v>
      </c>
      <c r="M401" s="4">
        <f t="shared" si="6"/>
        <v>22050</v>
      </c>
    </row>
    <row r="402" spans="1:13" ht="15.75" customHeight="1">
      <c r="A402" s="1" t="s">
        <v>2002</v>
      </c>
      <c r="B402" s="1" t="str">
        <f>"196730072957"</f>
        <v>196730072957</v>
      </c>
      <c r="C402" s="1" t="s">
        <v>2003</v>
      </c>
      <c r="D402" s="2" t="s">
        <v>1996</v>
      </c>
      <c r="E402" s="1" t="s">
        <v>2819</v>
      </c>
      <c r="F402" s="1" t="s">
        <v>1997</v>
      </c>
      <c r="G402" s="1" t="s">
        <v>2411</v>
      </c>
      <c r="H402" s="1" t="s">
        <v>2001</v>
      </c>
      <c r="I402" s="1" t="s">
        <v>2220</v>
      </c>
      <c r="J402" s="1" t="s">
        <v>2844</v>
      </c>
      <c r="K402" s="3">
        <v>24</v>
      </c>
      <c r="L402" s="4">
        <v>210</v>
      </c>
      <c r="M402" s="4">
        <f t="shared" si="6"/>
        <v>5040</v>
      </c>
    </row>
    <row r="403" spans="1:13" ht="15.75" customHeight="1">
      <c r="A403" s="1" t="s">
        <v>2004</v>
      </c>
      <c r="B403" s="1" t="str">
        <f>"196730072971"</f>
        <v>196730072971</v>
      </c>
      <c r="C403" s="1" t="s">
        <v>2005</v>
      </c>
      <c r="D403" s="2" t="s">
        <v>1996</v>
      </c>
      <c r="E403" s="1" t="s">
        <v>2819</v>
      </c>
      <c r="F403" s="1" t="s">
        <v>1997</v>
      </c>
      <c r="G403" s="1" t="s">
        <v>2418</v>
      </c>
      <c r="H403" s="1" t="s">
        <v>2001</v>
      </c>
      <c r="I403" s="1" t="s">
        <v>2220</v>
      </c>
      <c r="J403" s="1" t="s">
        <v>2844</v>
      </c>
      <c r="K403" s="3">
        <v>117</v>
      </c>
      <c r="L403" s="4">
        <v>210</v>
      </c>
      <c r="M403" s="4">
        <f t="shared" si="6"/>
        <v>24570</v>
      </c>
    </row>
    <row r="404" spans="1:13" ht="15.75" customHeight="1">
      <c r="A404" s="1" t="s">
        <v>2006</v>
      </c>
      <c r="B404" s="1" t="str">
        <f>"886785698713"</f>
        <v>886785698713</v>
      </c>
      <c r="C404" s="1" t="s">
        <v>2007</v>
      </c>
      <c r="D404" s="2" t="s">
        <v>2008</v>
      </c>
      <c r="E404" s="1" t="s">
        <v>2819</v>
      </c>
      <c r="F404" s="1" t="s">
        <v>2009</v>
      </c>
      <c r="G404" s="1" t="s">
        <v>2418</v>
      </c>
      <c r="H404" s="1" t="s">
        <v>2010</v>
      </c>
      <c r="I404" s="1" t="s">
        <v>2220</v>
      </c>
      <c r="J404" s="1" t="s">
        <v>2935</v>
      </c>
      <c r="K404" s="3">
        <v>37</v>
      </c>
      <c r="L404" s="4">
        <v>210</v>
      </c>
      <c r="M404" s="4">
        <f t="shared" si="6"/>
        <v>7770</v>
      </c>
    </row>
    <row r="405" spans="1:13" ht="15.75" customHeight="1">
      <c r="A405" s="1" t="s">
        <v>2011</v>
      </c>
      <c r="B405" s="1" t="str">
        <f>"886785698744"</f>
        <v>886785698744</v>
      </c>
      <c r="C405" s="1" t="s">
        <v>2012</v>
      </c>
      <c r="D405" s="2" t="s">
        <v>2013</v>
      </c>
      <c r="E405" s="1" t="s">
        <v>2819</v>
      </c>
      <c r="F405" s="1" t="s">
        <v>2014</v>
      </c>
      <c r="G405" s="1" t="s">
        <v>2211</v>
      </c>
      <c r="H405" s="1" t="s">
        <v>2010</v>
      </c>
      <c r="I405" s="1" t="s">
        <v>2220</v>
      </c>
      <c r="J405" s="1" t="s">
        <v>2935</v>
      </c>
      <c r="K405" s="3">
        <v>8</v>
      </c>
      <c r="L405" s="4">
        <v>210</v>
      </c>
      <c r="M405" s="4">
        <f t="shared" si="6"/>
        <v>1680</v>
      </c>
    </row>
    <row r="406" spans="1:13" ht="15.75" customHeight="1">
      <c r="A406" s="1" t="s">
        <v>2015</v>
      </c>
      <c r="B406" s="1" t="str">
        <f>"886785698751"</f>
        <v>886785698751</v>
      </c>
      <c r="C406" s="1" t="s">
        <v>2016</v>
      </c>
      <c r="D406" s="2" t="s">
        <v>2013</v>
      </c>
      <c r="E406" s="1" t="s">
        <v>2819</v>
      </c>
      <c r="F406" s="1" t="s">
        <v>2014</v>
      </c>
      <c r="G406" s="1" t="s">
        <v>2418</v>
      </c>
      <c r="H406" s="1" t="s">
        <v>2010</v>
      </c>
      <c r="I406" s="1" t="s">
        <v>2220</v>
      </c>
      <c r="J406" s="1" t="s">
        <v>2935</v>
      </c>
      <c r="K406" s="3">
        <v>46</v>
      </c>
      <c r="L406" s="4">
        <v>210</v>
      </c>
      <c r="M406" s="4">
        <f t="shared" si="6"/>
        <v>9660</v>
      </c>
    </row>
    <row r="407" spans="1:13" ht="15.75" customHeight="1">
      <c r="A407" s="1" t="s">
        <v>2017</v>
      </c>
      <c r="B407" s="1" t="str">
        <f>"196730008871"</f>
        <v>196730008871</v>
      </c>
      <c r="C407" s="1" t="s">
        <v>2018</v>
      </c>
      <c r="D407" s="2" t="s">
        <v>2019</v>
      </c>
      <c r="E407" s="1" t="s">
        <v>2819</v>
      </c>
      <c r="F407" s="1" t="s">
        <v>2020</v>
      </c>
      <c r="G407" s="1" t="s">
        <v>2405</v>
      </c>
      <c r="H407" s="1" t="s">
        <v>2021</v>
      </c>
      <c r="I407" s="1" t="s">
        <v>2220</v>
      </c>
      <c r="J407" s="1" t="s">
        <v>2935</v>
      </c>
      <c r="K407" s="3">
        <v>24</v>
      </c>
      <c r="L407" s="4">
        <v>210</v>
      </c>
      <c r="M407" s="4">
        <f t="shared" si="6"/>
        <v>5040</v>
      </c>
    </row>
    <row r="408" spans="1:13" ht="15.75" customHeight="1">
      <c r="A408" s="1" t="s">
        <v>2022</v>
      </c>
      <c r="B408" s="1" t="str">
        <f>"196730008857"</f>
        <v>196730008857</v>
      </c>
      <c r="C408" s="1" t="s">
        <v>2023</v>
      </c>
      <c r="D408" s="2" t="s">
        <v>2019</v>
      </c>
      <c r="E408" s="1" t="s">
        <v>2819</v>
      </c>
      <c r="F408" s="1" t="s">
        <v>2020</v>
      </c>
      <c r="G408" s="1" t="s">
        <v>2211</v>
      </c>
      <c r="H408" s="1" t="s">
        <v>2010</v>
      </c>
      <c r="I408" s="1" t="s">
        <v>2220</v>
      </c>
      <c r="J408" s="1" t="s">
        <v>2935</v>
      </c>
      <c r="K408" s="3">
        <v>35</v>
      </c>
      <c r="L408" s="4">
        <v>210</v>
      </c>
      <c r="M408" s="4">
        <f t="shared" si="6"/>
        <v>7350</v>
      </c>
    </row>
    <row r="409" spans="1:13" ht="15.75" customHeight="1">
      <c r="A409" s="1" t="s">
        <v>2024</v>
      </c>
      <c r="B409" s="1" t="str">
        <f>"196730008864"</f>
        <v>196730008864</v>
      </c>
      <c r="C409" s="1" t="s">
        <v>2025</v>
      </c>
      <c r="D409" s="2" t="s">
        <v>2019</v>
      </c>
      <c r="E409" s="1" t="s">
        <v>2819</v>
      </c>
      <c r="F409" s="1" t="s">
        <v>2020</v>
      </c>
      <c r="G409" s="1" t="s">
        <v>2418</v>
      </c>
      <c r="H409" s="1" t="s">
        <v>2010</v>
      </c>
      <c r="I409" s="1" t="s">
        <v>2220</v>
      </c>
      <c r="J409" s="1" t="s">
        <v>2935</v>
      </c>
      <c r="K409" s="3">
        <v>70</v>
      </c>
      <c r="L409" s="4">
        <v>210</v>
      </c>
      <c r="M409" s="4">
        <f t="shared" si="6"/>
        <v>14700</v>
      </c>
    </row>
    <row r="410" spans="1:13" ht="15.75" customHeight="1">
      <c r="A410" s="1" t="s">
        <v>2026</v>
      </c>
      <c r="B410" s="1" t="str">
        <f>"196730008833"</f>
        <v>196730008833</v>
      </c>
      <c r="C410" s="1" t="s">
        <v>2027</v>
      </c>
      <c r="D410" s="2" t="s">
        <v>2028</v>
      </c>
      <c r="E410" s="1" t="s">
        <v>2819</v>
      </c>
      <c r="F410" s="1" t="s">
        <v>2029</v>
      </c>
      <c r="G410" s="1" t="s">
        <v>2405</v>
      </c>
      <c r="H410" s="1" t="s">
        <v>2021</v>
      </c>
      <c r="I410" s="1" t="s">
        <v>2220</v>
      </c>
      <c r="J410" s="1" t="s">
        <v>2935</v>
      </c>
      <c r="K410" s="3">
        <v>25</v>
      </c>
      <c r="L410" s="4">
        <v>210</v>
      </c>
      <c r="M410" s="4">
        <f t="shared" si="6"/>
        <v>5250</v>
      </c>
    </row>
    <row r="411" spans="1:13" ht="15.75" customHeight="1">
      <c r="A411" s="1" t="s">
        <v>2030</v>
      </c>
      <c r="B411" s="1" t="str">
        <f>"196730008819"</f>
        <v>196730008819</v>
      </c>
      <c r="C411" s="1" t="s">
        <v>2031</v>
      </c>
      <c r="D411" s="2" t="s">
        <v>2028</v>
      </c>
      <c r="E411" s="1" t="s">
        <v>2819</v>
      </c>
      <c r="F411" s="1" t="s">
        <v>2029</v>
      </c>
      <c r="G411" s="1" t="s">
        <v>2211</v>
      </c>
      <c r="H411" s="1" t="s">
        <v>2010</v>
      </c>
      <c r="I411" s="1" t="s">
        <v>2220</v>
      </c>
      <c r="J411" s="1" t="s">
        <v>2935</v>
      </c>
      <c r="K411" s="3">
        <v>79</v>
      </c>
      <c r="L411" s="4">
        <v>210</v>
      </c>
      <c r="M411" s="4">
        <f t="shared" si="6"/>
        <v>16590</v>
      </c>
    </row>
    <row r="412" spans="1:13" ht="15.75" customHeight="1">
      <c r="A412" s="1" t="s">
        <v>2032</v>
      </c>
      <c r="B412" s="1" t="str">
        <f>"196730008802"</f>
        <v>196730008802</v>
      </c>
      <c r="C412" s="1" t="s">
        <v>2033</v>
      </c>
      <c r="D412" s="2" t="s">
        <v>2028</v>
      </c>
      <c r="E412" s="1" t="s">
        <v>2819</v>
      </c>
      <c r="F412" s="1" t="s">
        <v>2029</v>
      </c>
      <c r="G412" s="1" t="s">
        <v>2411</v>
      </c>
      <c r="H412" s="1" t="s">
        <v>2010</v>
      </c>
      <c r="I412" s="1" t="s">
        <v>2220</v>
      </c>
      <c r="J412" s="1" t="s">
        <v>2935</v>
      </c>
      <c r="K412" s="3">
        <v>1</v>
      </c>
      <c r="L412" s="4">
        <v>210</v>
      </c>
      <c r="M412" s="4">
        <f t="shared" si="6"/>
        <v>210</v>
      </c>
    </row>
    <row r="413" spans="1:13" ht="15.75" customHeight="1">
      <c r="A413" s="1" t="s">
        <v>2034</v>
      </c>
      <c r="B413" s="1" t="str">
        <f>"196730008826"</f>
        <v>196730008826</v>
      </c>
      <c r="C413" s="1" t="s">
        <v>2035</v>
      </c>
      <c r="D413" s="2" t="s">
        <v>2028</v>
      </c>
      <c r="E413" s="1" t="s">
        <v>2819</v>
      </c>
      <c r="F413" s="1" t="s">
        <v>2029</v>
      </c>
      <c r="G413" s="1" t="s">
        <v>2418</v>
      </c>
      <c r="H413" s="1" t="s">
        <v>2010</v>
      </c>
      <c r="I413" s="1" t="s">
        <v>2220</v>
      </c>
      <c r="J413" s="1" t="s">
        <v>2935</v>
      </c>
      <c r="K413" s="3">
        <v>112</v>
      </c>
      <c r="L413" s="4">
        <v>210</v>
      </c>
      <c r="M413" s="4">
        <f t="shared" si="6"/>
        <v>23520</v>
      </c>
    </row>
    <row r="414" spans="1:13" ht="15.75" customHeight="1">
      <c r="A414" s="1" t="s">
        <v>2036</v>
      </c>
      <c r="B414" s="1" t="str">
        <f>"886785541446"</f>
        <v>886785541446</v>
      </c>
      <c r="C414" s="1" t="s">
        <v>2037</v>
      </c>
      <c r="D414" s="2" t="s">
        <v>2038</v>
      </c>
      <c r="E414" s="1" t="s">
        <v>2819</v>
      </c>
      <c r="F414" s="1" t="s">
        <v>2210</v>
      </c>
      <c r="G414" s="1" t="s">
        <v>2418</v>
      </c>
      <c r="H414" s="1" t="s">
        <v>2039</v>
      </c>
      <c r="I414" s="1" t="s">
        <v>2220</v>
      </c>
      <c r="J414" s="1" t="s">
        <v>2844</v>
      </c>
      <c r="K414" s="3">
        <v>1</v>
      </c>
      <c r="L414" s="4">
        <v>180</v>
      </c>
      <c r="M414" s="4">
        <f t="shared" si="6"/>
        <v>180</v>
      </c>
    </row>
    <row r="415" spans="1:13" ht="15.75" customHeight="1">
      <c r="A415" s="1" t="s">
        <v>2040</v>
      </c>
      <c r="B415" s="1" t="str">
        <f>"886785541477"</f>
        <v>886785541477</v>
      </c>
      <c r="C415" s="1" t="s">
        <v>2041</v>
      </c>
      <c r="D415" s="2" t="s">
        <v>2042</v>
      </c>
      <c r="E415" s="1" t="s">
        <v>2819</v>
      </c>
      <c r="F415" s="1" t="s">
        <v>2043</v>
      </c>
      <c r="G415" s="1" t="s">
        <v>2211</v>
      </c>
      <c r="H415" s="1" t="s">
        <v>2039</v>
      </c>
      <c r="I415" s="1" t="s">
        <v>2220</v>
      </c>
      <c r="J415" s="1" t="s">
        <v>2844</v>
      </c>
      <c r="K415" s="3">
        <v>37</v>
      </c>
      <c r="L415" s="4">
        <v>180</v>
      </c>
      <c r="M415" s="4">
        <f t="shared" si="6"/>
        <v>6660</v>
      </c>
    </row>
    <row r="416" spans="1:13" ht="15.75" customHeight="1">
      <c r="A416" s="1" t="s">
        <v>2044</v>
      </c>
      <c r="B416" s="1" t="str">
        <f>"886785541484"</f>
        <v>886785541484</v>
      </c>
      <c r="C416" s="1" t="s">
        <v>2045</v>
      </c>
      <c r="D416" s="2" t="s">
        <v>2042</v>
      </c>
      <c r="E416" s="1" t="s">
        <v>2819</v>
      </c>
      <c r="F416" s="1" t="s">
        <v>2043</v>
      </c>
      <c r="G416" s="1" t="s">
        <v>2418</v>
      </c>
      <c r="H416" s="1" t="s">
        <v>2039</v>
      </c>
      <c r="I416" s="1" t="s">
        <v>2220</v>
      </c>
      <c r="J416" s="1" t="s">
        <v>2844</v>
      </c>
      <c r="K416" s="3">
        <v>24</v>
      </c>
      <c r="L416" s="4">
        <v>180</v>
      </c>
      <c r="M416" s="4">
        <f t="shared" si="6"/>
        <v>4320</v>
      </c>
    </row>
    <row r="417" spans="1:13" ht="15.75" customHeight="1">
      <c r="A417" s="1" t="s">
        <v>2046</v>
      </c>
      <c r="B417" s="1" t="str">
        <f>"886785541514"</f>
        <v>886785541514</v>
      </c>
      <c r="C417" s="1" t="s">
        <v>2047</v>
      </c>
      <c r="D417" s="2" t="s">
        <v>2048</v>
      </c>
      <c r="E417" s="1" t="s">
        <v>2819</v>
      </c>
      <c r="F417" s="1" t="s">
        <v>2049</v>
      </c>
      <c r="G417" s="1" t="s">
        <v>2211</v>
      </c>
      <c r="H417" s="1" t="s">
        <v>2039</v>
      </c>
      <c r="I417" s="1" t="s">
        <v>2220</v>
      </c>
      <c r="J417" s="1" t="s">
        <v>2844</v>
      </c>
      <c r="K417" s="3">
        <v>22</v>
      </c>
      <c r="L417" s="4">
        <v>180</v>
      </c>
      <c r="M417" s="4">
        <f t="shared" si="6"/>
        <v>3960</v>
      </c>
    </row>
    <row r="418" spans="1:13" ht="15.75" customHeight="1">
      <c r="A418" s="1" t="s">
        <v>2050</v>
      </c>
      <c r="B418" s="1" t="str">
        <f>"886785541521"</f>
        <v>886785541521</v>
      </c>
      <c r="C418" s="1" t="s">
        <v>2051</v>
      </c>
      <c r="D418" s="2" t="s">
        <v>2048</v>
      </c>
      <c r="E418" s="1" t="s">
        <v>2819</v>
      </c>
      <c r="F418" s="1" t="s">
        <v>2049</v>
      </c>
      <c r="G418" s="1" t="s">
        <v>2418</v>
      </c>
      <c r="H418" s="1" t="s">
        <v>2039</v>
      </c>
      <c r="I418" s="1" t="s">
        <v>2220</v>
      </c>
      <c r="J418" s="1" t="s">
        <v>2844</v>
      </c>
      <c r="K418" s="3">
        <v>23</v>
      </c>
      <c r="L418" s="4">
        <v>180</v>
      </c>
      <c r="M418" s="4">
        <f t="shared" si="6"/>
        <v>4140</v>
      </c>
    </row>
    <row r="419" spans="1:13" ht="15.75" customHeight="1">
      <c r="A419" s="1" t="s">
        <v>2052</v>
      </c>
      <c r="B419" s="1" t="str">
        <f>"886785541552"</f>
        <v>886785541552</v>
      </c>
      <c r="C419" s="1" t="s">
        <v>2053</v>
      </c>
      <c r="D419" s="2" t="s">
        <v>2054</v>
      </c>
      <c r="E419" s="1" t="s">
        <v>2819</v>
      </c>
      <c r="F419" s="1" t="s">
        <v>2055</v>
      </c>
      <c r="G419" s="1" t="s">
        <v>2211</v>
      </c>
      <c r="H419" s="1" t="s">
        <v>2039</v>
      </c>
      <c r="I419" s="1" t="s">
        <v>2220</v>
      </c>
      <c r="J419" s="1" t="s">
        <v>2844</v>
      </c>
      <c r="K419" s="3">
        <v>18</v>
      </c>
      <c r="L419" s="4">
        <v>180</v>
      </c>
      <c r="M419" s="4">
        <f t="shared" si="6"/>
        <v>3240</v>
      </c>
    </row>
    <row r="420" spans="1:13" ht="15.75" customHeight="1">
      <c r="A420" s="1" t="s">
        <v>2056</v>
      </c>
      <c r="B420" s="1" t="str">
        <f>"886785541545"</f>
        <v>886785541545</v>
      </c>
      <c r="C420" s="1" t="s">
        <v>2057</v>
      </c>
      <c r="D420" s="2" t="s">
        <v>2054</v>
      </c>
      <c r="E420" s="1" t="s">
        <v>2819</v>
      </c>
      <c r="F420" s="1" t="s">
        <v>2055</v>
      </c>
      <c r="G420" s="1" t="s">
        <v>2411</v>
      </c>
      <c r="H420" s="1" t="s">
        <v>2039</v>
      </c>
      <c r="I420" s="1" t="s">
        <v>2220</v>
      </c>
      <c r="J420" s="1" t="s">
        <v>2844</v>
      </c>
      <c r="K420" s="3">
        <v>7</v>
      </c>
      <c r="L420" s="4">
        <v>180</v>
      </c>
      <c r="M420" s="4">
        <f t="shared" si="6"/>
        <v>1260</v>
      </c>
    </row>
    <row r="421" spans="1:13" ht="15.75" customHeight="1">
      <c r="A421" s="1" t="s">
        <v>2058</v>
      </c>
      <c r="B421" s="1" t="str">
        <f>"886785541569"</f>
        <v>886785541569</v>
      </c>
      <c r="C421" s="1" t="s">
        <v>2059</v>
      </c>
      <c r="D421" s="2" t="s">
        <v>2054</v>
      </c>
      <c r="E421" s="1" t="s">
        <v>2819</v>
      </c>
      <c r="F421" s="1" t="s">
        <v>2055</v>
      </c>
      <c r="G421" s="1" t="s">
        <v>2418</v>
      </c>
      <c r="H421" s="1" t="s">
        <v>2039</v>
      </c>
      <c r="I421" s="1" t="s">
        <v>2220</v>
      </c>
      <c r="J421" s="1" t="s">
        <v>2844</v>
      </c>
      <c r="K421" s="3">
        <v>31</v>
      </c>
      <c r="L421" s="4">
        <v>180</v>
      </c>
      <c r="M421" s="4">
        <f t="shared" si="6"/>
        <v>5580</v>
      </c>
    </row>
    <row r="422" spans="1:13" ht="15.75" customHeight="1">
      <c r="A422" s="1" t="s">
        <v>2060</v>
      </c>
      <c r="B422" s="1" t="str">
        <f>"886785703066"</f>
        <v>886785703066</v>
      </c>
      <c r="C422" s="1" t="s">
        <v>2061</v>
      </c>
      <c r="D422" s="2" t="s">
        <v>2062</v>
      </c>
      <c r="E422" s="1" t="s">
        <v>2819</v>
      </c>
      <c r="F422" s="1" t="s">
        <v>2210</v>
      </c>
      <c r="G422" s="1" t="s">
        <v>2411</v>
      </c>
      <c r="H422" s="1" t="s">
        <v>2063</v>
      </c>
      <c r="I422" s="1" t="s">
        <v>2257</v>
      </c>
      <c r="J422" s="1" t="s">
        <v>2935</v>
      </c>
      <c r="K422" s="3">
        <v>13</v>
      </c>
      <c r="L422" s="4">
        <v>255</v>
      </c>
      <c r="M422" s="4">
        <f t="shared" si="6"/>
        <v>3315</v>
      </c>
    </row>
    <row r="423" spans="1:13" ht="15.75" customHeight="1">
      <c r="A423" s="1" t="s">
        <v>2064</v>
      </c>
      <c r="B423" s="1" t="str">
        <f>"886785703059"</f>
        <v>886785703059</v>
      </c>
      <c r="C423" s="1" t="s">
        <v>2065</v>
      </c>
      <c r="D423" s="2" t="s">
        <v>2062</v>
      </c>
      <c r="E423" s="1" t="s">
        <v>2819</v>
      </c>
      <c r="F423" s="1" t="s">
        <v>2210</v>
      </c>
      <c r="G423" s="1" t="s">
        <v>2219</v>
      </c>
      <c r="H423" s="1" t="s">
        <v>2063</v>
      </c>
      <c r="I423" s="1" t="s">
        <v>2257</v>
      </c>
      <c r="J423" s="1" t="s">
        <v>2935</v>
      </c>
      <c r="K423" s="3">
        <v>3</v>
      </c>
      <c r="L423" s="4">
        <v>255</v>
      </c>
      <c r="M423" s="4">
        <f t="shared" si="6"/>
        <v>765</v>
      </c>
    </row>
    <row r="424" spans="1:13" ht="15.75" customHeight="1">
      <c r="A424" s="1" t="s">
        <v>2066</v>
      </c>
      <c r="B424" s="1" t="str">
        <f>"886785703110"</f>
        <v>886785703110</v>
      </c>
      <c r="C424" s="1" t="s">
        <v>2067</v>
      </c>
      <c r="D424" s="2" t="s">
        <v>2068</v>
      </c>
      <c r="E424" s="1" t="s">
        <v>2819</v>
      </c>
      <c r="F424" s="1" t="s">
        <v>2069</v>
      </c>
      <c r="G424" s="1" t="s">
        <v>2211</v>
      </c>
      <c r="H424" s="1" t="s">
        <v>2063</v>
      </c>
      <c r="I424" s="1" t="s">
        <v>2257</v>
      </c>
      <c r="J424" s="1" t="s">
        <v>2935</v>
      </c>
      <c r="K424" s="3">
        <v>22</v>
      </c>
      <c r="L424" s="4">
        <v>255</v>
      </c>
      <c r="M424" s="4">
        <f t="shared" si="6"/>
        <v>5610</v>
      </c>
    </row>
    <row r="425" spans="1:13" ht="15.75" customHeight="1">
      <c r="A425" s="1" t="s">
        <v>2070</v>
      </c>
      <c r="B425" s="1" t="str">
        <f>"886785703103"</f>
        <v>886785703103</v>
      </c>
      <c r="C425" s="1" t="s">
        <v>2071</v>
      </c>
      <c r="D425" s="2" t="s">
        <v>2068</v>
      </c>
      <c r="E425" s="1" t="s">
        <v>2819</v>
      </c>
      <c r="F425" s="1" t="s">
        <v>2069</v>
      </c>
      <c r="G425" s="1" t="s">
        <v>2411</v>
      </c>
      <c r="H425" s="1" t="s">
        <v>2063</v>
      </c>
      <c r="I425" s="1" t="s">
        <v>2257</v>
      </c>
      <c r="J425" s="1" t="s">
        <v>2935</v>
      </c>
      <c r="K425" s="3">
        <v>44</v>
      </c>
      <c r="L425" s="4">
        <v>255</v>
      </c>
      <c r="M425" s="4">
        <f t="shared" si="6"/>
        <v>11220</v>
      </c>
    </row>
    <row r="426" spans="1:13" ht="15.75" customHeight="1">
      <c r="A426" s="1" t="s">
        <v>2072</v>
      </c>
      <c r="B426" s="1" t="str">
        <f>"886785703097"</f>
        <v>886785703097</v>
      </c>
      <c r="C426" s="1" t="s">
        <v>2073</v>
      </c>
      <c r="D426" s="2" t="s">
        <v>2068</v>
      </c>
      <c r="E426" s="1" t="s">
        <v>2819</v>
      </c>
      <c r="F426" s="1" t="s">
        <v>2069</v>
      </c>
      <c r="G426" s="1" t="s">
        <v>2219</v>
      </c>
      <c r="H426" s="1" t="s">
        <v>2063</v>
      </c>
      <c r="I426" s="1" t="s">
        <v>2257</v>
      </c>
      <c r="J426" s="1" t="s">
        <v>2935</v>
      </c>
      <c r="K426" s="3">
        <v>4</v>
      </c>
      <c r="L426" s="4">
        <v>255</v>
      </c>
      <c r="M426" s="4">
        <f t="shared" si="6"/>
        <v>1020</v>
      </c>
    </row>
    <row r="427" spans="1:13" ht="15.75" customHeight="1">
      <c r="A427" s="1" t="s">
        <v>2074</v>
      </c>
      <c r="B427" s="1" t="str">
        <f>"886785703158"</f>
        <v>886785703158</v>
      </c>
      <c r="C427" s="1" t="s">
        <v>2075</v>
      </c>
      <c r="D427" s="2" t="s">
        <v>2076</v>
      </c>
      <c r="E427" s="1" t="s">
        <v>2819</v>
      </c>
      <c r="F427" s="1" t="s">
        <v>2077</v>
      </c>
      <c r="G427" s="1" t="s">
        <v>2211</v>
      </c>
      <c r="H427" s="1" t="s">
        <v>2063</v>
      </c>
      <c r="I427" s="1" t="s">
        <v>2257</v>
      </c>
      <c r="J427" s="1" t="s">
        <v>2935</v>
      </c>
      <c r="K427" s="3">
        <v>21</v>
      </c>
      <c r="L427" s="4">
        <v>255</v>
      </c>
      <c r="M427" s="4">
        <f t="shared" si="6"/>
        <v>5355</v>
      </c>
    </row>
    <row r="428" spans="1:13" ht="15.75" customHeight="1">
      <c r="A428" s="1" t="s">
        <v>2078</v>
      </c>
      <c r="B428" s="1" t="str">
        <f>"886785703141"</f>
        <v>886785703141</v>
      </c>
      <c r="C428" s="1" t="s">
        <v>2079</v>
      </c>
      <c r="D428" s="2" t="s">
        <v>2076</v>
      </c>
      <c r="E428" s="1" t="s">
        <v>2819</v>
      </c>
      <c r="F428" s="1" t="s">
        <v>2077</v>
      </c>
      <c r="G428" s="1" t="s">
        <v>2411</v>
      </c>
      <c r="H428" s="1" t="s">
        <v>2063</v>
      </c>
      <c r="I428" s="1" t="s">
        <v>2257</v>
      </c>
      <c r="J428" s="1" t="s">
        <v>2935</v>
      </c>
      <c r="K428" s="3">
        <v>35</v>
      </c>
      <c r="L428" s="4">
        <v>200</v>
      </c>
      <c r="M428" s="4">
        <f t="shared" si="6"/>
        <v>7000</v>
      </c>
    </row>
    <row r="429" spans="1:13" ht="15.75" customHeight="1">
      <c r="A429" s="1" t="s">
        <v>2080</v>
      </c>
      <c r="B429" s="1" t="str">
        <f>"196730076511"</f>
        <v>196730076511</v>
      </c>
      <c r="C429" s="1" t="s">
        <v>2081</v>
      </c>
      <c r="D429" s="2" t="s">
        <v>2082</v>
      </c>
      <c r="E429" s="1" t="s">
        <v>2819</v>
      </c>
      <c r="F429" s="1" t="s">
        <v>2083</v>
      </c>
      <c r="G429" s="1" t="s">
        <v>2411</v>
      </c>
      <c r="H429" s="1" t="s">
        <v>1907</v>
      </c>
      <c r="I429" s="1" t="s">
        <v>2257</v>
      </c>
      <c r="J429" s="1" t="s">
        <v>2844</v>
      </c>
      <c r="K429" s="3">
        <v>14</v>
      </c>
      <c r="L429" s="4">
        <v>185</v>
      </c>
      <c r="M429" s="4">
        <f t="shared" si="6"/>
        <v>2590</v>
      </c>
    </row>
    <row r="430" spans="1:13" ht="15.75" customHeight="1">
      <c r="A430" s="1" t="s">
        <v>2084</v>
      </c>
      <c r="B430" s="1" t="str">
        <f>"196730076504"</f>
        <v>196730076504</v>
      </c>
      <c r="C430" s="1" t="s">
        <v>2085</v>
      </c>
      <c r="D430" s="2" t="s">
        <v>2082</v>
      </c>
      <c r="E430" s="1" t="s">
        <v>2819</v>
      </c>
      <c r="F430" s="1" t="s">
        <v>2083</v>
      </c>
      <c r="G430" s="1" t="s">
        <v>2219</v>
      </c>
      <c r="H430" s="1" t="s">
        <v>1907</v>
      </c>
      <c r="I430" s="1" t="s">
        <v>2257</v>
      </c>
      <c r="J430" s="1" t="s">
        <v>2844</v>
      </c>
      <c r="K430" s="3">
        <v>2</v>
      </c>
      <c r="L430" s="4">
        <v>185</v>
      </c>
      <c r="M430" s="4">
        <f t="shared" si="6"/>
        <v>370</v>
      </c>
    </row>
    <row r="431" spans="1:13" ht="15.75" customHeight="1">
      <c r="A431" s="1" t="s">
        <v>2086</v>
      </c>
      <c r="B431" s="1" t="str">
        <f>"196730076603"</f>
        <v>196730076603</v>
      </c>
      <c r="C431" s="1" t="s">
        <v>2087</v>
      </c>
      <c r="D431" s="2" t="s">
        <v>2088</v>
      </c>
      <c r="E431" s="1" t="s">
        <v>2819</v>
      </c>
      <c r="F431" s="1" t="s">
        <v>2089</v>
      </c>
      <c r="G431" s="1" t="s">
        <v>2211</v>
      </c>
      <c r="H431" s="1" t="s">
        <v>1907</v>
      </c>
      <c r="I431" s="1" t="s">
        <v>2257</v>
      </c>
      <c r="J431" s="1" t="s">
        <v>2844</v>
      </c>
      <c r="K431" s="3">
        <v>15</v>
      </c>
      <c r="L431" s="4">
        <v>185</v>
      </c>
      <c r="M431" s="4">
        <f t="shared" si="6"/>
        <v>2775</v>
      </c>
    </row>
    <row r="432" spans="1:13" ht="15.75" customHeight="1">
      <c r="A432" s="1" t="s">
        <v>2090</v>
      </c>
      <c r="B432" s="1" t="str">
        <f>"196730076597"</f>
        <v>196730076597</v>
      </c>
      <c r="C432" s="1" t="s">
        <v>2091</v>
      </c>
      <c r="D432" s="2" t="s">
        <v>2088</v>
      </c>
      <c r="E432" s="1" t="s">
        <v>2819</v>
      </c>
      <c r="F432" s="1" t="s">
        <v>2089</v>
      </c>
      <c r="G432" s="1" t="s">
        <v>2411</v>
      </c>
      <c r="H432" s="1" t="s">
        <v>1907</v>
      </c>
      <c r="I432" s="1" t="s">
        <v>2257</v>
      </c>
      <c r="J432" s="1" t="s">
        <v>2844</v>
      </c>
      <c r="K432" s="3">
        <v>22</v>
      </c>
      <c r="L432" s="4">
        <v>185</v>
      </c>
      <c r="M432" s="4">
        <f t="shared" si="6"/>
        <v>4070</v>
      </c>
    </row>
    <row r="433" spans="1:13" ht="15.75" customHeight="1">
      <c r="A433" s="1" t="s">
        <v>2092</v>
      </c>
      <c r="B433" s="1" t="str">
        <f>"196730076566"</f>
        <v>196730076566</v>
      </c>
      <c r="C433" s="1" t="s">
        <v>2093</v>
      </c>
      <c r="D433" s="2" t="s">
        <v>1905</v>
      </c>
      <c r="E433" s="1" t="s">
        <v>2819</v>
      </c>
      <c r="F433" s="1" t="s">
        <v>1906</v>
      </c>
      <c r="G433" s="1" t="s">
        <v>2211</v>
      </c>
      <c r="H433" s="1" t="s">
        <v>1907</v>
      </c>
      <c r="I433" s="1" t="s">
        <v>2257</v>
      </c>
      <c r="J433" s="1" t="s">
        <v>2844</v>
      </c>
      <c r="K433" s="3">
        <v>15</v>
      </c>
      <c r="L433" s="4">
        <v>185</v>
      </c>
      <c r="M433" s="4">
        <f t="shared" si="6"/>
        <v>2775</v>
      </c>
    </row>
    <row r="434" spans="1:13" ht="15.75" customHeight="1">
      <c r="A434" s="1" t="s">
        <v>2094</v>
      </c>
      <c r="B434" s="1" t="str">
        <f>"886785685676"</f>
        <v>886785685676</v>
      </c>
      <c r="C434" s="1" t="s">
        <v>2095</v>
      </c>
      <c r="D434" s="2" t="s">
        <v>2096</v>
      </c>
      <c r="E434" s="1" t="s">
        <v>2819</v>
      </c>
      <c r="F434" s="1" t="s">
        <v>2097</v>
      </c>
      <c r="G434" s="1" t="s">
        <v>2211</v>
      </c>
      <c r="H434" s="1" t="s">
        <v>2098</v>
      </c>
      <c r="I434" s="1" t="s">
        <v>2257</v>
      </c>
      <c r="J434" s="1" t="s">
        <v>2935</v>
      </c>
      <c r="K434" s="3">
        <v>52</v>
      </c>
      <c r="L434" s="4">
        <v>200</v>
      </c>
      <c r="M434" s="4">
        <f t="shared" si="6"/>
        <v>10400</v>
      </c>
    </row>
    <row r="435" spans="1:13" ht="15.75" customHeight="1">
      <c r="A435" s="1" t="s">
        <v>2099</v>
      </c>
      <c r="B435" s="1" t="str">
        <f>"886785685669"</f>
        <v>886785685669</v>
      </c>
      <c r="C435" s="1" t="s">
        <v>2100</v>
      </c>
      <c r="D435" s="2" t="s">
        <v>2096</v>
      </c>
      <c r="E435" s="1" t="s">
        <v>2819</v>
      </c>
      <c r="F435" s="1" t="s">
        <v>2097</v>
      </c>
      <c r="G435" s="1" t="s">
        <v>2411</v>
      </c>
      <c r="H435" s="1" t="s">
        <v>2098</v>
      </c>
      <c r="I435" s="1" t="s">
        <v>2257</v>
      </c>
      <c r="J435" s="1" t="s">
        <v>2935</v>
      </c>
      <c r="K435" s="3">
        <v>59</v>
      </c>
      <c r="L435" s="4">
        <v>200</v>
      </c>
      <c r="M435" s="4">
        <f t="shared" si="6"/>
        <v>11800</v>
      </c>
    </row>
    <row r="436" spans="1:13" ht="15.75" customHeight="1">
      <c r="A436" s="1" t="s">
        <v>2101</v>
      </c>
      <c r="B436" s="1" t="str">
        <f>"886785685652"</f>
        <v>886785685652</v>
      </c>
      <c r="C436" s="1" t="s">
        <v>2102</v>
      </c>
      <c r="D436" s="2" t="s">
        <v>2096</v>
      </c>
      <c r="E436" s="1" t="s">
        <v>2819</v>
      </c>
      <c r="F436" s="1" t="s">
        <v>2097</v>
      </c>
      <c r="G436" s="1" t="s">
        <v>2219</v>
      </c>
      <c r="H436" s="1" t="s">
        <v>2098</v>
      </c>
      <c r="I436" s="1" t="s">
        <v>2257</v>
      </c>
      <c r="J436" s="1" t="s">
        <v>2935</v>
      </c>
      <c r="K436" s="3">
        <v>23</v>
      </c>
      <c r="L436" s="4">
        <v>200</v>
      </c>
      <c r="M436" s="4">
        <f t="shared" si="6"/>
        <v>4600</v>
      </c>
    </row>
    <row r="437" spans="1:13" ht="15.75" customHeight="1">
      <c r="A437" s="1" t="s">
        <v>2103</v>
      </c>
      <c r="B437" s="1" t="str">
        <f>"196730075880"</f>
        <v>196730075880</v>
      </c>
      <c r="C437" s="1" t="s">
        <v>2104</v>
      </c>
      <c r="D437" s="2" t="s">
        <v>2105</v>
      </c>
      <c r="E437" s="1" t="s">
        <v>2819</v>
      </c>
      <c r="F437" s="1" t="s">
        <v>2106</v>
      </c>
      <c r="G437" s="1" t="s">
        <v>2211</v>
      </c>
      <c r="H437" s="1" t="s">
        <v>2934</v>
      </c>
      <c r="I437" s="1" t="s">
        <v>2257</v>
      </c>
      <c r="J437" s="1" t="s">
        <v>2935</v>
      </c>
      <c r="K437" s="3">
        <v>31</v>
      </c>
      <c r="L437" s="4">
        <v>245</v>
      </c>
      <c r="M437" s="4">
        <f t="shared" si="6"/>
        <v>7595</v>
      </c>
    </row>
    <row r="438" spans="1:13" ht="15.75" customHeight="1">
      <c r="A438" s="1" t="s">
        <v>2107</v>
      </c>
      <c r="B438" s="1" t="str">
        <f>"196730075873"</f>
        <v>196730075873</v>
      </c>
      <c r="C438" s="1" t="s">
        <v>2108</v>
      </c>
      <c r="D438" s="2" t="s">
        <v>2105</v>
      </c>
      <c r="E438" s="1" t="s">
        <v>2819</v>
      </c>
      <c r="F438" s="1" t="s">
        <v>2106</v>
      </c>
      <c r="G438" s="1" t="s">
        <v>2411</v>
      </c>
      <c r="H438" s="1" t="s">
        <v>2934</v>
      </c>
      <c r="I438" s="1" t="s">
        <v>2257</v>
      </c>
      <c r="J438" s="1" t="s">
        <v>2935</v>
      </c>
      <c r="K438" s="3">
        <v>61</v>
      </c>
      <c r="L438" s="4">
        <v>200</v>
      </c>
      <c r="M438" s="4">
        <f t="shared" si="6"/>
        <v>12200</v>
      </c>
    </row>
    <row r="439" spans="1:13" ht="15.75" customHeight="1">
      <c r="A439" s="1" t="s">
        <v>2109</v>
      </c>
      <c r="B439" s="1" t="str">
        <f>"196730075866"</f>
        <v>196730075866</v>
      </c>
      <c r="C439" s="1" t="s">
        <v>2110</v>
      </c>
      <c r="D439" s="2" t="s">
        <v>2105</v>
      </c>
      <c r="E439" s="1" t="s">
        <v>2819</v>
      </c>
      <c r="F439" s="1" t="s">
        <v>2106</v>
      </c>
      <c r="G439" s="1" t="s">
        <v>2219</v>
      </c>
      <c r="H439" s="1" t="s">
        <v>2934</v>
      </c>
      <c r="I439" s="1" t="s">
        <v>2257</v>
      </c>
      <c r="J439" s="1" t="s">
        <v>2935</v>
      </c>
      <c r="K439" s="3">
        <v>21</v>
      </c>
      <c r="L439" s="4">
        <v>245</v>
      </c>
      <c r="M439" s="4">
        <f t="shared" si="6"/>
        <v>5145</v>
      </c>
    </row>
    <row r="440" spans="1:13" ht="15.75" customHeight="1">
      <c r="A440" s="1" t="s">
        <v>2111</v>
      </c>
      <c r="B440" s="1" t="str">
        <f>"196730075842"</f>
        <v>196730075842</v>
      </c>
      <c r="C440" s="1" t="s">
        <v>2112</v>
      </c>
      <c r="D440" s="2" t="s">
        <v>2113</v>
      </c>
      <c r="E440" s="1" t="s">
        <v>2819</v>
      </c>
      <c r="F440" s="1" t="s">
        <v>2114</v>
      </c>
      <c r="G440" s="1" t="s">
        <v>2211</v>
      </c>
      <c r="H440" s="1" t="s">
        <v>2934</v>
      </c>
      <c r="I440" s="1" t="s">
        <v>2257</v>
      </c>
      <c r="J440" s="1" t="s">
        <v>2935</v>
      </c>
      <c r="K440" s="3">
        <v>26</v>
      </c>
      <c r="L440" s="4">
        <v>200</v>
      </c>
      <c r="M440" s="4">
        <f t="shared" si="6"/>
        <v>5200</v>
      </c>
    </row>
    <row r="441" spans="1:13" ht="15.75" customHeight="1">
      <c r="A441" s="1" t="s">
        <v>2115</v>
      </c>
      <c r="B441" s="1" t="str">
        <f>"196730075835"</f>
        <v>196730075835</v>
      </c>
      <c r="C441" s="1" t="s">
        <v>2116</v>
      </c>
      <c r="D441" s="2" t="s">
        <v>2113</v>
      </c>
      <c r="E441" s="1" t="s">
        <v>2819</v>
      </c>
      <c r="F441" s="1" t="s">
        <v>2114</v>
      </c>
      <c r="G441" s="1" t="s">
        <v>2411</v>
      </c>
      <c r="H441" s="1" t="s">
        <v>2934</v>
      </c>
      <c r="I441" s="1" t="s">
        <v>2257</v>
      </c>
      <c r="J441" s="1" t="s">
        <v>2935</v>
      </c>
      <c r="K441" s="3">
        <v>43</v>
      </c>
      <c r="L441" s="4">
        <v>200</v>
      </c>
      <c r="M441" s="4">
        <f t="shared" si="6"/>
        <v>8600</v>
      </c>
    </row>
    <row r="442" spans="1:13" ht="15.75" customHeight="1">
      <c r="A442" s="1" t="s">
        <v>2117</v>
      </c>
      <c r="B442" s="1" t="str">
        <f>"196730075828"</f>
        <v>196730075828</v>
      </c>
      <c r="C442" s="1" t="s">
        <v>2118</v>
      </c>
      <c r="D442" s="2" t="s">
        <v>2113</v>
      </c>
      <c r="E442" s="1" t="s">
        <v>2819</v>
      </c>
      <c r="F442" s="1" t="s">
        <v>2114</v>
      </c>
      <c r="G442" s="1" t="s">
        <v>2219</v>
      </c>
      <c r="H442" s="1" t="s">
        <v>2934</v>
      </c>
      <c r="I442" s="1" t="s">
        <v>2257</v>
      </c>
      <c r="J442" s="1" t="s">
        <v>2935</v>
      </c>
      <c r="K442" s="3">
        <v>13</v>
      </c>
      <c r="L442" s="4">
        <v>245</v>
      </c>
      <c r="M442" s="4">
        <f t="shared" si="6"/>
        <v>3185</v>
      </c>
    </row>
    <row r="443" spans="1:13" ht="15.75" customHeight="1">
      <c r="A443" s="1" t="s">
        <v>2119</v>
      </c>
      <c r="B443" s="1" t="str">
        <f>"196730020217"</f>
        <v>196730020217</v>
      </c>
      <c r="C443" s="1" t="s">
        <v>2120</v>
      </c>
      <c r="D443" s="2" t="s">
        <v>2121</v>
      </c>
      <c r="E443" s="1" t="s">
        <v>2819</v>
      </c>
      <c r="F443" s="1" t="s">
        <v>2210</v>
      </c>
      <c r="G443" s="1" t="s">
        <v>2211</v>
      </c>
      <c r="H443" s="1" t="s">
        <v>2122</v>
      </c>
      <c r="I443" s="1" t="s">
        <v>2220</v>
      </c>
      <c r="J443" s="1" t="s">
        <v>2935</v>
      </c>
      <c r="K443" s="3">
        <v>13</v>
      </c>
      <c r="L443" s="4">
        <v>250</v>
      </c>
      <c r="M443" s="4">
        <f t="shared" si="6"/>
        <v>3250</v>
      </c>
    </row>
    <row r="444" spans="1:13" ht="15.75" customHeight="1">
      <c r="A444" s="1" t="s">
        <v>2123</v>
      </c>
      <c r="B444" s="1" t="str">
        <f>"196730020224"</f>
        <v>196730020224</v>
      </c>
      <c r="C444" s="1" t="s">
        <v>2124</v>
      </c>
      <c r="D444" s="2" t="s">
        <v>2121</v>
      </c>
      <c r="E444" s="1" t="s">
        <v>2819</v>
      </c>
      <c r="F444" s="1" t="s">
        <v>2210</v>
      </c>
      <c r="G444" s="1" t="s">
        <v>2418</v>
      </c>
      <c r="H444" s="1" t="s">
        <v>2122</v>
      </c>
      <c r="I444" s="1" t="s">
        <v>2220</v>
      </c>
      <c r="J444" s="1" t="s">
        <v>2935</v>
      </c>
      <c r="K444" s="3">
        <v>71</v>
      </c>
      <c r="L444" s="4">
        <v>250</v>
      </c>
      <c r="M444" s="4">
        <f t="shared" si="6"/>
        <v>17750</v>
      </c>
    </row>
    <row r="445" spans="1:13" ht="15.75" customHeight="1">
      <c r="A445" s="1" t="s">
        <v>2125</v>
      </c>
      <c r="B445" s="1" t="str">
        <f>"196730072926"</f>
        <v>196730072926</v>
      </c>
      <c r="C445" s="1" t="s">
        <v>2126</v>
      </c>
      <c r="D445" s="2" t="s">
        <v>2127</v>
      </c>
      <c r="E445" s="1" t="s">
        <v>2819</v>
      </c>
      <c r="F445" s="1" t="s">
        <v>2210</v>
      </c>
      <c r="G445" s="1" t="s">
        <v>2211</v>
      </c>
      <c r="H445" s="1" t="s">
        <v>2001</v>
      </c>
      <c r="I445" s="1" t="s">
        <v>2220</v>
      </c>
      <c r="J445" s="1" t="s">
        <v>2844</v>
      </c>
      <c r="K445" s="3">
        <v>6</v>
      </c>
      <c r="L445" s="4">
        <v>210</v>
      </c>
      <c r="M445" s="4">
        <f t="shared" si="6"/>
        <v>1260</v>
      </c>
    </row>
    <row r="446" spans="1:13" ht="15.75" customHeight="1">
      <c r="A446" s="1" t="s">
        <v>2128</v>
      </c>
      <c r="B446" s="1" t="str">
        <f>"196730072933"</f>
        <v>196730072933</v>
      </c>
      <c r="C446" s="1" t="s">
        <v>2129</v>
      </c>
      <c r="D446" s="2" t="s">
        <v>2127</v>
      </c>
      <c r="E446" s="1" t="s">
        <v>2819</v>
      </c>
      <c r="F446" s="1" t="s">
        <v>2210</v>
      </c>
      <c r="G446" s="1" t="s">
        <v>2418</v>
      </c>
      <c r="H446" s="1" t="s">
        <v>2001</v>
      </c>
      <c r="I446" s="1" t="s">
        <v>2220</v>
      </c>
      <c r="J446" s="1" t="s">
        <v>2844</v>
      </c>
      <c r="K446" s="3">
        <v>10</v>
      </c>
      <c r="L446" s="4">
        <v>210</v>
      </c>
      <c r="M446" s="4">
        <f t="shared" si="6"/>
        <v>2100</v>
      </c>
    </row>
    <row r="447" spans="1:13" ht="15.75" customHeight="1">
      <c r="A447" s="1" t="s">
        <v>2130</v>
      </c>
      <c r="B447" s="1" t="str">
        <f>"196730073022"</f>
        <v>196730073022</v>
      </c>
      <c r="C447" s="1" t="s">
        <v>2131</v>
      </c>
      <c r="D447" s="2" t="s">
        <v>2132</v>
      </c>
      <c r="E447" s="1" t="s">
        <v>2819</v>
      </c>
      <c r="F447" s="1" t="s">
        <v>2055</v>
      </c>
      <c r="G447" s="1" t="s">
        <v>2405</v>
      </c>
      <c r="H447" s="1" t="s">
        <v>1998</v>
      </c>
      <c r="I447" s="1" t="s">
        <v>2220</v>
      </c>
      <c r="J447" s="1" t="s">
        <v>2844</v>
      </c>
      <c r="K447" s="3">
        <v>13</v>
      </c>
      <c r="L447" s="4">
        <v>210</v>
      </c>
      <c r="M447" s="4">
        <f t="shared" si="6"/>
        <v>2730</v>
      </c>
    </row>
    <row r="448" spans="1:13" ht="15.75" customHeight="1">
      <c r="A448" s="1" t="s">
        <v>2133</v>
      </c>
      <c r="B448" s="1" t="str">
        <f>"886785678364"</f>
        <v>886785678364</v>
      </c>
      <c r="C448" s="1" t="s">
        <v>2134</v>
      </c>
      <c r="D448" s="2"/>
      <c r="E448" s="1" t="s">
        <v>2819</v>
      </c>
      <c r="F448" s="1" t="s">
        <v>2049</v>
      </c>
      <c r="G448" s="1" t="s">
        <v>2411</v>
      </c>
      <c r="H448" s="1" t="s">
        <v>2135</v>
      </c>
      <c r="I448" s="1" t="s">
        <v>2220</v>
      </c>
      <c r="J448" s="1" t="s">
        <v>2935</v>
      </c>
      <c r="K448" s="3">
        <v>1</v>
      </c>
      <c r="L448" s="4">
        <v>220</v>
      </c>
      <c r="M448" s="4">
        <f t="shared" si="6"/>
        <v>220</v>
      </c>
    </row>
    <row r="449" spans="1:13" ht="15.75" customHeight="1">
      <c r="A449" s="1" t="s">
        <v>2136</v>
      </c>
      <c r="B449" s="1" t="str">
        <f>"886785678388"</f>
        <v>886785678388</v>
      </c>
      <c r="C449" s="1" t="s">
        <v>2137</v>
      </c>
      <c r="D449" s="2" t="s">
        <v>2138</v>
      </c>
      <c r="E449" s="1" t="s">
        <v>2819</v>
      </c>
      <c r="F449" s="1" t="s">
        <v>2049</v>
      </c>
      <c r="G449" s="1" t="s">
        <v>2418</v>
      </c>
      <c r="H449" s="1" t="s">
        <v>2135</v>
      </c>
      <c r="I449" s="1" t="s">
        <v>2220</v>
      </c>
      <c r="J449" s="1" t="s">
        <v>2935</v>
      </c>
      <c r="K449" s="3">
        <v>57</v>
      </c>
      <c r="L449" s="4">
        <v>220</v>
      </c>
      <c r="M449" s="4">
        <f t="shared" si="6"/>
        <v>12540</v>
      </c>
    </row>
    <row r="450" spans="1:13" ht="15.75" customHeight="1">
      <c r="A450" s="1" t="s">
        <v>2139</v>
      </c>
      <c r="B450" s="1" t="str">
        <f>"196730072995"</f>
        <v>196730072995</v>
      </c>
      <c r="C450" s="1" t="s">
        <v>2140</v>
      </c>
      <c r="D450" s="2" t="s">
        <v>2132</v>
      </c>
      <c r="E450" s="1" t="s">
        <v>2819</v>
      </c>
      <c r="F450" s="1" t="s">
        <v>2055</v>
      </c>
      <c r="G450" s="1" t="s">
        <v>2411</v>
      </c>
      <c r="H450" s="1" t="s">
        <v>2001</v>
      </c>
      <c r="I450" s="1" t="s">
        <v>2220</v>
      </c>
      <c r="J450" s="1" t="s">
        <v>2844</v>
      </c>
      <c r="K450" s="3">
        <v>10</v>
      </c>
      <c r="L450" s="4">
        <v>210</v>
      </c>
      <c r="M450" s="4">
        <f t="shared" ref="M450:M513" si="7">L450*K450</f>
        <v>2100</v>
      </c>
    </row>
    <row r="451" spans="1:13" ht="15.75" customHeight="1">
      <c r="A451" s="1" t="s">
        <v>2141</v>
      </c>
      <c r="B451" s="1" t="str">
        <f>"196730073015"</f>
        <v>196730073015</v>
      </c>
      <c r="C451" s="1" t="s">
        <v>2142</v>
      </c>
      <c r="D451" s="2" t="s">
        <v>2132</v>
      </c>
      <c r="E451" s="1" t="s">
        <v>2819</v>
      </c>
      <c r="F451" s="1" t="s">
        <v>2055</v>
      </c>
      <c r="G451" s="1" t="s">
        <v>2418</v>
      </c>
      <c r="H451" s="1" t="s">
        <v>2001</v>
      </c>
      <c r="I451" s="1" t="s">
        <v>2220</v>
      </c>
      <c r="J451" s="1" t="s">
        <v>2844</v>
      </c>
      <c r="K451" s="3">
        <v>48</v>
      </c>
      <c r="L451" s="4">
        <v>210</v>
      </c>
      <c r="M451" s="4">
        <f t="shared" si="7"/>
        <v>10080</v>
      </c>
    </row>
    <row r="452" spans="1:13" ht="15.75" customHeight="1">
      <c r="A452" s="1" t="s">
        <v>2143</v>
      </c>
      <c r="B452" s="1" t="str">
        <f>"886785664329"</f>
        <v>886785664329</v>
      </c>
      <c r="C452" s="1" t="s">
        <v>2144</v>
      </c>
      <c r="D452" s="2"/>
      <c r="E452" s="1" t="s">
        <v>2819</v>
      </c>
      <c r="F452" s="1" t="s">
        <v>2145</v>
      </c>
      <c r="G452" s="1" t="s">
        <v>2411</v>
      </c>
      <c r="H452" s="1" t="s">
        <v>2146</v>
      </c>
      <c r="I452" s="1" t="s">
        <v>2257</v>
      </c>
      <c r="J452" s="1" t="s">
        <v>2815</v>
      </c>
      <c r="K452" s="3">
        <v>1</v>
      </c>
      <c r="L452" s="4">
        <v>200</v>
      </c>
      <c r="M452" s="4">
        <f t="shared" si="7"/>
        <v>200</v>
      </c>
    </row>
    <row r="453" spans="1:13" ht="15.75" customHeight="1">
      <c r="A453" s="1" t="s">
        <v>2147</v>
      </c>
      <c r="B453" s="1" t="str">
        <f>"196730047399"</f>
        <v>196730047399</v>
      </c>
      <c r="C453" s="1" t="s">
        <v>2148</v>
      </c>
      <c r="D453" s="2" t="s">
        <v>2149</v>
      </c>
      <c r="E453" s="1" t="s">
        <v>2819</v>
      </c>
      <c r="F453" s="1" t="s">
        <v>2150</v>
      </c>
      <c r="G453" s="1" t="s">
        <v>2411</v>
      </c>
      <c r="H453" s="1" t="s">
        <v>2151</v>
      </c>
      <c r="I453" s="1" t="s">
        <v>2257</v>
      </c>
      <c r="J453" s="1" t="s">
        <v>2935</v>
      </c>
      <c r="K453" s="3">
        <v>40</v>
      </c>
      <c r="L453" s="4">
        <v>200</v>
      </c>
      <c r="M453" s="4">
        <f t="shared" si="7"/>
        <v>8000</v>
      </c>
    </row>
    <row r="454" spans="1:13" ht="15.75" customHeight="1">
      <c r="A454" s="1" t="s">
        <v>2152</v>
      </c>
      <c r="B454" s="1" t="str">
        <f>"196730047382"</f>
        <v>196730047382</v>
      </c>
      <c r="C454" s="1" t="s">
        <v>2153</v>
      </c>
      <c r="D454" s="2" t="s">
        <v>2149</v>
      </c>
      <c r="E454" s="1" t="s">
        <v>2819</v>
      </c>
      <c r="F454" s="1" t="s">
        <v>2150</v>
      </c>
      <c r="G454" s="1" t="s">
        <v>2219</v>
      </c>
      <c r="H454" s="1" t="s">
        <v>2151</v>
      </c>
      <c r="I454" s="1" t="s">
        <v>2257</v>
      </c>
      <c r="J454" s="1" t="s">
        <v>2935</v>
      </c>
      <c r="K454" s="3">
        <v>13</v>
      </c>
      <c r="L454" s="4">
        <v>200</v>
      </c>
      <c r="M454" s="4">
        <f t="shared" si="7"/>
        <v>2600</v>
      </c>
    </row>
    <row r="455" spans="1:13" ht="15.75" customHeight="1">
      <c r="A455" s="1" t="s">
        <v>2154</v>
      </c>
      <c r="B455" s="1" t="str">
        <f>"196730047436"</f>
        <v>196730047436</v>
      </c>
      <c r="C455" s="1" t="s">
        <v>2155</v>
      </c>
      <c r="D455" s="2" t="s">
        <v>2156</v>
      </c>
      <c r="E455" s="1" t="s">
        <v>2819</v>
      </c>
      <c r="F455" s="1" t="s">
        <v>2157</v>
      </c>
      <c r="G455" s="1" t="s">
        <v>2411</v>
      </c>
      <c r="H455" s="1" t="s">
        <v>2151</v>
      </c>
      <c r="I455" s="1" t="s">
        <v>2257</v>
      </c>
      <c r="J455" s="1" t="s">
        <v>2935</v>
      </c>
      <c r="K455" s="3">
        <v>3</v>
      </c>
      <c r="L455" s="4">
        <v>200</v>
      </c>
      <c r="M455" s="4">
        <f t="shared" si="7"/>
        <v>600</v>
      </c>
    </row>
    <row r="456" spans="1:13" ht="15.75" customHeight="1">
      <c r="A456" s="1" t="s">
        <v>2158</v>
      </c>
      <c r="B456" s="1" t="str">
        <f>"196730047320"</f>
        <v>196730047320</v>
      </c>
      <c r="C456" s="1" t="s">
        <v>2159</v>
      </c>
      <c r="D456" s="2"/>
      <c r="E456" s="1" t="s">
        <v>2819</v>
      </c>
      <c r="F456" s="1" t="s">
        <v>2160</v>
      </c>
      <c r="G456" s="1" t="s">
        <v>2211</v>
      </c>
      <c r="H456" s="1" t="s">
        <v>2151</v>
      </c>
      <c r="I456" s="1" t="s">
        <v>2257</v>
      </c>
      <c r="J456" s="1" t="s">
        <v>2935</v>
      </c>
      <c r="K456" s="3">
        <v>1</v>
      </c>
      <c r="L456" s="4">
        <v>200</v>
      </c>
      <c r="M456" s="4">
        <f t="shared" si="7"/>
        <v>200</v>
      </c>
    </row>
    <row r="457" spans="1:13" ht="15.75" customHeight="1">
      <c r="A457" s="1" t="s">
        <v>2161</v>
      </c>
      <c r="B457" s="1" t="str">
        <f>"196730047313"</f>
        <v>196730047313</v>
      </c>
      <c r="C457" s="1" t="s">
        <v>2162</v>
      </c>
      <c r="D457" s="2" t="s">
        <v>2163</v>
      </c>
      <c r="E457" s="1" t="s">
        <v>2819</v>
      </c>
      <c r="F457" s="1" t="s">
        <v>2160</v>
      </c>
      <c r="G457" s="1" t="s">
        <v>2411</v>
      </c>
      <c r="H457" s="1" t="s">
        <v>2151</v>
      </c>
      <c r="I457" s="1" t="s">
        <v>2257</v>
      </c>
      <c r="J457" s="1" t="s">
        <v>2935</v>
      </c>
      <c r="K457" s="3">
        <v>37</v>
      </c>
      <c r="L457" s="4">
        <v>200</v>
      </c>
      <c r="M457" s="4">
        <f t="shared" si="7"/>
        <v>7400</v>
      </c>
    </row>
    <row r="458" spans="1:13" ht="15.75" customHeight="1">
      <c r="A458" s="1" t="s">
        <v>2164</v>
      </c>
      <c r="B458" s="1" t="str">
        <f>"196730047368"</f>
        <v>196730047368</v>
      </c>
      <c r="C458" s="1" t="s">
        <v>2165</v>
      </c>
      <c r="D458" s="2" t="s">
        <v>2166</v>
      </c>
      <c r="E458" s="1" t="s">
        <v>2819</v>
      </c>
      <c r="F458" s="1" t="s">
        <v>2167</v>
      </c>
      <c r="G458" s="1" t="s">
        <v>2211</v>
      </c>
      <c r="H458" s="1" t="s">
        <v>2151</v>
      </c>
      <c r="I458" s="1" t="s">
        <v>2257</v>
      </c>
      <c r="J458" s="1" t="s">
        <v>2935</v>
      </c>
      <c r="K458" s="3">
        <v>3</v>
      </c>
      <c r="L458" s="4">
        <v>200</v>
      </c>
      <c r="M458" s="4">
        <f t="shared" si="7"/>
        <v>600</v>
      </c>
    </row>
    <row r="459" spans="1:13" ht="15.75" customHeight="1">
      <c r="A459" s="1" t="s">
        <v>2168</v>
      </c>
      <c r="B459" s="1" t="str">
        <f>"196730047344"</f>
        <v>196730047344</v>
      </c>
      <c r="C459" s="1" t="s">
        <v>2169</v>
      </c>
      <c r="D459" s="2" t="s">
        <v>2166</v>
      </c>
      <c r="E459" s="1" t="s">
        <v>2819</v>
      </c>
      <c r="F459" s="1" t="s">
        <v>2167</v>
      </c>
      <c r="G459" s="1" t="s">
        <v>2219</v>
      </c>
      <c r="H459" s="1" t="s">
        <v>2151</v>
      </c>
      <c r="I459" s="1" t="s">
        <v>2257</v>
      </c>
      <c r="J459" s="1" t="s">
        <v>2935</v>
      </c>
      <c r="K459" s="3">
        <v>7</v>
      </c>
      <c r="L459" s="4">
        <v>200</v>
      </c>
      <c r="M459" s="4">
        <f t="shared" si="7"/>
        <v>1400</v>
      </c>
    </row>
    <row r="460" spans="1:13" ht="15.75" customHeight="1">
      <c r="A460" s="1" t="s">
        <v>2170</v>
      </c>
      <c r="B460" s="1" t="str">
        <f>"810040310058"</f>
        <v>810040310058</v>
      </c>
      <c r="C460" s="1" t="s">
        <v>2171</v>
      </c>
      <c r="D460" s="2" t="s">
        <v>2172</v>
      </c>
      <c r="E460" s="1" t="s">
        <v>2173</v>
      </c>
      <c r="F460" s="1" t="s">
        <v>2174</v>
      </c>
      <c r="G460" s="1" t="s">
        <v>2175</v>
      </c>
      <c r="H460" s="1" t="s">
        <v>2176</v>
      </c>
      <c r="I460" s="1"/>
      <c r="J460" s="1" t="s">
        <v>2177</v>
      </c>
      <c r="K460" s="3">
        <v>115</v>
      </c>
      <c r="L460" s="4">
        <v>27.95</v>
      </c>
      <c r="M460" s="4">
        <f t="shared" si="7"/>
        <v>3214.25</v>
      </c>
    </row>
    <row r="461" spans="1:13" ht="15.75" customHeight="1">
      <c r="A461" s="1" t="s">
        <v>2178</v>
      </c>
      <c r="B461" s="1" t="str">
        <f>"810005619455"</f>
        <v>810005619455</v>
      </c>
      <c r="C461" s="1" t="s">
        <v>2179</v>
      </c>
      <c r="D461" s="2" t="s">
        <v>2180</v>
      </c>
      <c r="E461" s="1" t="s">
        <v>2173</v>
      </c>
      <c r="F461" s="1" t="s">
        <v>2181</v>
      </c>
      <c r="G461" s="1" t="s">
        <v>2175</v>
      </c>
      <c r="H461" s="1" t="s">
        <v>2182</v>
      </c>
      <c r="I461" s="1"/>
      <c r="J461" s="1" t="s">
        <v>2177</v>
      </c>
      <c r="K461" s="3">
        <v>394</v>
      </c>
      <c r="L461" s="4">
        <v>27.95</v>
      </c>
      <c r="M461" s="4">
        <f t="shared" si="7"/>
        <v>11012.3</v>
      </c>
    </row>
    <row r="462" spans="1:13" ht="15.75" customHeight="1">
      <c r="A462" s="1" t="s">
        <v>2183</v>
      </c>
      <c r="B462" s="1" t="str">
        <f>"810040310409"</f>
        <v>810040310409</v>
      </c>
      <c r="C462" s="1" t="s">
        <v>2184</v>
      </c>
      <c r="D462" s="2" t="s">
        <v>2185</v>
      </c>
      <c r="E462" s="1" t="s">
        <v>2173</v>
      </c>
      <c r="F462" s="1" t="s">
        <v>2186</v>
      </c>
      <c r="G462" s="1" t="s">
        <v>2187</v>
      </c>
      <c r="H462" s="1" t="s">
        <v>2188</v>
      </c>
      <c r="I462" s="1" t="s">
        <v>2304</v>
      </c>
      <c r="J462" s="1" t="s">
        <v>2177</v>
      </c>
      <c r="K462" s="3">
        <v>39</v>
      </c>
      <c r="L462" s="4">
        <v>27.95</v>
      </c>
      <c r="M462" s="4">
        <f t="shared" si="7"/>
        <v>1090.05</v>
      </c>
    </row>
    <row r="463" spans="1:13" ht="15.75" customHeight="1">
      <c r="A463" s="1" t="s">
        <v>2189</v>
      </c>
      <c r="B463" s="1" t="str">
        <f>"810005619479"</f>
        <v>810005619479</v>
      </c>
      <c r="C463" s="1" t="s">
        <v>2190</v>
      </c>
      <c r="D463" s="2" t="s">
        <v>2191</v>
      </c>
      <c r="E463" s="1" t="s">
        <v>2173</v>
      </c>
      <c r="F463" s="1" t="s">
        <v>2181</v>
      </c>
      <c r="G463" s="1" t="s">
        <v>2187</v>
      </c>
      <c r="H463" s="1" t="s">
        <v>2192</v>
      </c>
      <c r="I463" s="1" t="s">
        <v>2304</v>
      </c>
      <c r="J463" s="1" t="s">
        <v>2177</v>
      </c>
      <c r="K463" s="3">
        <v>170</v>
      </c>
      <c r="L463" s="4">
        <v>27.95</v>
      </c>
      <c r="M463" s="4">
        <f t="shared" si="7"/>
        <v>4751.5</v>
      </c>
    </row>
    <row r="464" spans="1:13" ht="15.75" customHeight="1">
      <c r="A464" s="1" t="s">
        <v>850</v>
      </c>
      <c r="B464" s="1" t="str">
        <f>"810040310096"</f>
        <v>810040310096</v>
      </c>
      <c r="C464" s="1" t="s">
        <v>851</v>
      </c>
      <c r="D464" s="2" t="s">
        <v>852</v>
      </c>
      <c r="E464" s="1" t="s">
        <v>2173</v>
      </c>
      <c r="F464" s="1" t="s">
        <v>853</v>
      </c>
      <c r="G464" s="1" t="s">
        <v>854</v>
      </c>
      <c r="H464" s="1" t="s">
        <v>855</v>
      </c>
      <c r="I464" s="1" t="s">
        <v>2304</v>
      </c>
      <c r="J464" s="1" t="s">
        <v>856</v>
      </c>
      <c r="K464" s="3">
        <v>50</v>
      </c>
      <c r="L464" s="4">
        <v>32.950000000000003</v>
      </c>
      <c r="M464" s="4">
        <f t="shared" si="7"/>
        <v>1647.5000000000002</v>
      </c>
    </row>
    <row r="465" spans="1:13" ht="15.75" customHeight="1">
      <c r="A465" s="1" t="s">
        <v>857</v>
      </c>
      <c r="B465" s="1" t="str">
        <f>"721357481174"</f>
        <v>721357481174</v>
      </c>
      <c r="C465" s="1" t="s">
        <v>858</v>
      </c>
      <c r="D465" s="2" t="s">
        <v>859</v>
      </c>
      <c r="E465" s="1" t="s">
        <v>860</v>
      </c>
      <c r="F465" s="1" t="s">
        <v>861</v>
      </c>
      <c r="G465" s="1" t="s">
        <v>2219</v>
      </c>
      <c r="H465" s="1" t="s">
        <v>862</v>
      </c>
      <c r="I465" s="1" t="s">
        <v>2220</v>
      </c>
      <c r="J465" s="1" t="s">
        <v>2428</v>
      </c>
      <c r="K465" s="3">
        <v>111</v>
      </c>
      <c r="L465" s="4">
        <v>40</v>
      </c>
      <c r="M465" s="4">
        <f t="shared" si="7"/>
        <v>4440</v>
      </c>
    </row>
    <row r="466" spans="1:13" ht="15.75" customHeight="1">
      <c r="A466" s="1" t="s">
        <v>863</v>
      </c>
      <c r="B466" s="1" t="str">
        <f>"194134532725"</f>
        <v>194134532725</v>
      </c>
      <c r="C466" s="1" t="s">
        <v>864</v>
      </c>
      <c r="D466" s="2" t="s">
        <v>865</v>
      </c>
      <c r="E466" s="1" t="s">
        <v>860</v>
      </c>
      <c r="F466" s="1" t="s">
        <v>2427</v>
      </c>
      <c r="G466" s="1" t="s">
        <v>2405</v>
      </c>
      <c r="H466" s="1" t="s">
        <v>866</v>
      </c>
      <c r="I466" s="1" t="s">
        <v>2220</v>
      </c>
      <c r="J466" s="1" t="s">
        <v>2221</v>
      </c>
      <c r="K466" s="3">
        <v>71</v>
      </c>
      <c r="L466" s="4">
        <v>16.989999999999998</v>
      </c>
      <c r="M466" s="4">
        <f t="shared" si="7"/>
        <v>1206.29</v>
      </c>
    </row>
    <row r="467" spans="1:13" ht="15.75" customHeight="1">
      <c r="A467" s="1" t="s">
        <v>867</v>
      </c>
      <c r="B467" s="1" t="str">
        <f>"194134532718"</f>
        <v>194134532718</v>
      </c>
      <c r="C467" s="1" t="s">
        <v>868</v>
      </c>
      <c r="D467" s="2" t="s">
        <v>865</v>
      </c>
      <c r="E467" s="1" t="s">
        <v>860</v>
      </c>
      <c r="F467" s="1" t="s">
        <v>2427</v>
      </c>
      <c r="G467" s="1" t="s">
        <v>2418</v>
      </c>
      <c r="H467" s="1" t="s">
        <v>866</v>
      </c>
      <c r="I467" s="1" t="s">
        <v>2220</v>
      </c>
      <c r="J467" s="1" t="s">
        <v>2221</v>
      </c>
      <c r="K467" s="3">
        <v>19</v>
      </c>
      <c r="L467" s="4">
        <v>16.989999999999998</v>
      </c>
      <c r="M467" s="4">
        <f t="shared" si="7"/>
        <v>322.80999999999995</v>
      </c>
    </row>
    <row r="468" spans="1:13" ht="15.75" customHeight="1">
      <c r="A468" s="1" t="s">
        <v>869</v>
      </c>
      <c r="B468" s="1" t="str">
        <f>"198374122609"</f>
        <v>198374122609</v>
      </c>
      <c r="C468" s="1" t="s">
        <v>870</v>
      </c>
      <c r="D468" s="2" t="s">
        <v>871</v>
      </c>
      <c r="E468" s="1" t="s">
        <v>860</v>
      </c>
      <c r="F468" s="1" t="s">
        <v>2210</v>
      </c>
      <c r="G468" s="1" t="s">
        <v>2411</v>
      </c>
      <c r="H468" s="1" t="s">
        <v>872</v>
      </c>
      <c r="I468" s="1" t="s">
        <v>2220</v>
      </c>
      <c r="J468" s="1" t="s">
        <v>2432</v>
      </c>
      <c r="K468" s="3">
        <v>10</v>
      </c>
      <c r="L468" s="4">
        <v>40</v>
      </c>
      <c r="M468" s="4">
        <f t="shared" si="7"/>
        <v>400</v>
      </c>
    </row>
    <row r="469" spans="1:13" ht="15.75" customHeight="1">
      <c r="A469" s="1" t="s">
        <v>873</v>
      </c>
      <c r="B469" s="1" t="str">
        <f>"198374122593"</f>
        <v>198374122593</v>
      </c>
      <c r="C469" s="1" t="s">
        <v>874</v>
      </c>
      <c r="D469" s="2" t="s">
        <v>871</v>
      </c>
      <c r="E469" s="1" t="s">
        <v>860</v>
      </c>
      <c r="F469" s="1" t="s">
        <v>2210</v>
      </c>
      <c r="G469" s="1" t="s">
        <v>2219</v>
      </c>
      <c r="H469" s="1" t="s">
        <v>872</v>
      </c>
      <c r="I469" s="1" t="s">
        <v>2220</v>
      </c>
      <c r="J469" s="1" t="s">
        <v>2432</v>
      </c>
      <c r="K469" s="3">
        <v>44</v>
      </c>
      <c r="L469" s="4">
        <v>40</v>
      </c>
      <c r="M469" s="4">
        <f t="shared" si="7"/>
        <v>1760</v>
      </c>
    </row>
    <row r="470" spans="1:13" ht="15.75" customHeight="1">
      <c r="A470" s="1" t="s">
        <v>875</v>
      </c>
      <c r="B470" s="1" t="str">
        <f>"198374122654"</f>
        <v>198374122654</v>
      </c>
      <c r="C470" s="1" t="s">
        <v>876</v>
      </c>
      <c r="D470" s="2"/>
      <c r="E470" s="1" t="s">
        <v>860</v>
      </c>
      <c r="F470" s="1" t="s">
        <v>877</v>
      </c>
      <c r="G470" s="1" t="s">
        <v>2411</v>
      </c>
      <c r="H470" s="1" t="s">
        <v>872</v>
      </c>
      <c r="I470" s="1" t="s">
        <v>2220</v>
      </c>
      <c r="J470" s="1" t="s">
        <v>2432</v>
      </c>
      <c r="K470" s="3">
        <v>1</v>
      </c>
      <c r="L470" s="4">
        <v>40</v>
      </c>
      <c r="M470" s="4">
        <f t="shared" si="7"/>
        <v>40</v>
      </c>
    </row>
    <row r="471" spans="1:13" ht="15.75" customHeight="1">
      <c r="A471" s="1" t="s">
        <v>878</v>
      </c>
      <c r="B471" s="1" t="str">
        <f>"198374122647"</f>
        <v>198374122647</v>
      </c>
      <c r="C471" s="1" t="s">
        <v>879</v>
      </c>
      <c r="D471" s="2" t="s">
        <v>880</v>
      </c>
      <c r="E471" s="1" t="s">
        <v>860</v>
      </c>
      <c r="F471" s="1" t="s">
        <v>877</v>
      </c>
      <c r="G471" s="1" t="s">
        <v>2219</v>
      </c>
      <c r="H471" s="1" t="s">
        <v>872</v>
      </c>
      <c r="I471" s="1" t="s">
        <v>2220</v>
      </c>
      <c r="J471" s="1" t="s">
        <v>2432</v>
      </c>
      <c r="K471" s="3">
        <v>43</v>
      </c>
      <c r="L471" s="4">
        <v>40</v>
      </c>
      <c r="M471" s="4">
        <f t="shared" si="7"/>
        <v>1720</v>
      </c>
    </row>
    <row r="472" spans="1:13" ht="15.75" customHeight="1">
      <c r="A472" s="1" t="s">
        <v>881</v>
      </c>
      <c r="B472" s="1" t="str">
        <f>"198374122692"</f>
        <v>198374122692</v>
      </c>
      <c r="C472" s="1" t="s">
        <v>882</v>
      </c>
      <c r="D472" s="2" t="s">
        <v>883</v>
      </c>
      <c r="E472" s="1" t="s">
        <v>860</v>
      </c>
      <c r="F472" s="1" t="s">
        <v>884</v>
      </c>
      <c r="G472" s="1" t="s">
        <v>2219</v>
      </c>
      <c r="H472" s="1" t="s">
        <v>872</v>
      </c>
      <c r="I472" s="1" t="s">
        <v>2220</v>
      </c>
      <c r="J472" s="1" t="s">
        <v>2432</v>
      </c>
      <c r="K472" s="3">
        <v>21</v>
      </c>
      <c r="L472" s="4">
        <v>40</v>
      </c>
      <c r="M472" s="4">
        <f t="shared" si="7"/>
        <v>840</v>
      </c>
    </row>
    <row r="473" spans="1:13" ht="15.75" customHeight="1">
      <c r="A473" s="1" t="s">
        <v>885</v>
      </c>
      <c r="B473" s="1" t="str">
        <f>"198374122753"</f>
        <v>198374122753</v>
      </c>
      <c r="C473" s="1" t="s">
        <v>886</v>
      </c>
      <c r="D473" s="2" t="s">
        <v>887</v>
      </c>
      <c r="E473" s="1" t="s">
        <v>860</v>
      </c>
      <c r="F473" s="1" t="s">
        <v>888</v>
      </c>
      <c r="G473" s="1" t="s">
        <v>2411</v>
      </c>
      <c r="H473" s="1" t="s">
        <v>872</v>
      </c>
      <c r="I473" s="1" t="s">
        <v>2220</v>
      </c>
      <c r="J473" s="1" t="s">
        <v>2432</v>
      </c>
      <c r="K473" s="3">
        <v>37</v>
      </c>
      <c r="L473" s="4">
        <v>40</v>
      </c>
      <c r="M473" s="4">
        <f t="shared" si="7"/>
        <v>1480</v>
      </c>
    </row>
    <row r="474" spans="1:13" ht="15.75" customHeight="1">
      <c r="A474" s="1" t="s">
        <v>889</v>
      </c>
      <c r="B474" s="1" t="str">
        <f>"198374122746"</f>
        <v>198374122746</v>
      </c>
      <c r="C474" s="1" t="s">
        <v>890</v>
      </c>
      <c r="D474" s="2" t="s">
        <v>887</v>
      </c>
      <c r="E474" s="1" t="s">
        <v>860</v>
      </c>
      <c r="F474" s="1" t="s">
        <v>888</v>
      </c>
      <c r="G474" s="1" t="s">
        <v>2219</v>
      </c>
      <c r="H474" s="1" t="s">
        <v>872</v>
      </c>
      <c r="I474" s="1" t="s">
        <v>2220</v>
      </c>
      <c r="J474" s="1" t="s">
        <v>2432</v>
      </c>
      <c r="K474" s="3">
        <v>49</v>
      </c>
      <c r="L474" s="4">
        <v>40</v>
      </c>
      <c r="M474" s="4">
        <f t="shared" si="7"/>
        <v>1960</v>
      </c>
    </row>
    <row r="475" spans="1:13" ht="15.75" customHeight="1">
      <c r="A475" s="1" t="s">
        <v>891</v>
      </c>
      <c r="B475" s="1" t="str">
        <f>"840144384518"</f>
        <v>840144384518</v>
      </c>
      <c r="C475" s="1" t="s">
        <v>892</v>
      </c>
      <c r="D475" s="2" t="s">
        <v>893</v>
      </c>
      <c r="E475" s="1" t="s">
        <v>860</v>
      </c>
      <c r="F475" s="1" t="s">
        <v>2210</v>
      </c>
      <c r="G475" s="1" t="s">
        <v>2411</v>
      </c>
      <c r="H475" s="1" t="s">
        <v>894</v>
      </c>
      <c r="I475" s="1" t="s">
        <v>2220</v>
      </c>
      <c r="J475" s="1" t="s">
        <v>2432</v>
      </c>
      <c r="K475" s="3">
        <v>31</v>
      </c>
      <c r="L475" s="4">
        <v>59</v>
      </c>
      <c r="M475" s="4">
        <f t="shared" si="7"/>
        <v>1829</v>
      </c>
    </row>
    <row r="476" spans="1:13" ht="15.75" customHeight="1">
      <c r="A476" s="1" t="s">
        <v>895</v>
      </c>
      <c r="B476" s="1" t="str">
        <f>"840144384501"</f>
        <v>840144384501</v>
      </c>
      <c r="C476" s="1" t="s">
        <v>896</v>
      </c>
      <c r="D476" s="2" t="s">
        <v>893</v>
      </c>
      <c r="E476" s="1" t="s">
        <v>860</v>
      </c>
      <c r="F476" s="1" t="s">
        <v>2210</v>
      </c>
      <c r="G476" s="1" t="s">
        <v>2219</v>
      </c>
      <c r="H476" s="1" t="s">
        <v>894</v>
      </c>
      <c r="I476" s="1" t="s">
        <v>2220</v>
      </c>
      <c r="J476" s="1" t="s">
        <v>2432</v>
      </c>
      <c r="K476" s="3">
        <v>50</v>
      </c>
      <c r="L476" s="4">
        <v>59</v>
      </c>
      <c r="M476" s="4">
        <f t="shared" si="7"/>
        <v>2950</v>
      </c>
    </row>
    <row r="477" spans="1:13" ht="15.75" customHeight="1">
      <c r="A477" s="1" t="s">
        <v>897</v>
      </c>
      <c r="B477" s="1" t="str">
        <f>"840144384563"</f>
        <v>840144384563</v>
      </c>
      <c r="C477" s="1" t="s">
        <v>898</v>
      </c>
      <c r="D477" s="2" t="s">
        <v>899</v>
      </c>
      <c r="E477" s="1" t="s">
        <v>860</v>
      </c>
      <c r="F477" s="1" t="s">
        <v>900</v>
      </c>
      <c r="G477" s="1" t="s">
        <v>2411</v>
      </c>
      <c r="H477" s="1" t="s">
        <v>894</v>
      </c>
      <c r="I477" s="1" t="s">
        <v>2220</v>
      </c>
      <c r="J477" s="1" t="s">
        <v>2432</v>
      </c>
      <c r="K477" s="3">
        <v>31</v>
      </c>
      <c r="L477" s="4">
        <v>59.99</v>
      </c>
      <c r="M477" s="4">
        <f t="shared" si="7"/>
        <v>1859.69</v>
      </c>
    </row>
    <row r="478" spans="1:13" ht="15.75" customHeight="1">
      <c r="A478" s="1" t="s">
        <v>901</v>
      </c>
      <c r="B478" s="1" t="str">
        <f>"840144384556"</f>
        <v>840144384556</v>
      </c>
      <c r="C478" s="1" t="s">
        <v>902</v>
      </c>
      <c r="D478" s="2" t="s">
        <v>899</v>
      </c>
      <c r="E478" s="1" t="s">
        <v>860</v>
      </c>
      <c r="F478" s="1" t="s">
        <v>900</v>
      </c>
      <c r="G478" s="1" t="s">
        <v>2219</v>
      </c>
      <c r="H478" s="1" t="s">
        <v>894</v>
      </c>
      <c r="I478" s="1" t="s">
        <v>2220</v>
      </c>
      <c r="J478" s="1" t="s">
        <v>2432</v>
      </c>
      <c r="K478" s="3">
        <v>83</v>
      </c>
      <c r="L478" s="4">
        <v>59.99</v>
      </c>
      <c r="M478" s="4">
        <f t="shared" si="7"/>
        <v>4979.17</v>
      </c>
    </row>
    <row r="479" spans="1:13" ht="15.75" customHeight="1">
      <c r="A479" s="1" t="s">
        <v>903</v>
      </c>
      <c r="B479" s="1" t="str">
        <f>"197256353773"</f>
        <v>197256353773</v>
      </c>
      <c r="C479" s="1" t="s">
        <v>904</v>
      </c>
      <c r="D479" s="2" t="s">
        <v>905</v>
      </c>
      <c r="E479" s="1" t="s">
        <v>860</v>
      </c>
      <c r="F479" s="1" t="s">
        <v>2210</v>
      </c>
      <c r="G479" s="1" t="s">
        <v>2211</v>
      </c>
      <c r="H479" s="1" t="s">
        <v>906</v>
      </c>
      <c r="I479" s="1" t="s">
        <v>2220</v>
      </c>
      <c r="J479" s="1" t="s">
        <v>2432</v>
      </c>
      <c r="K479" s="3">
        <v>103</v>
      </c>
      <c r="L479" s="4">
        <v>34</v>
      </c>
      <c r="M479" s="4">
        <f t="shared" si="7"/>
        <v>3502</v>
      </c>
    </row>
    <row r="480" spans="1:13" ht="15.75" customHeight="1">
      <c r="A480" s="1" t="s">
        <v>907</v>
      </c>
      <c r="B480" s="1" t="str">
        <f>"197256353766"</f>
        <v>197256353766</v>
      </c>
      <c r="C480" s="1" t="s">
        <v>908</v>
      </c>
      <c r="D480" s="2" t="s">
        <v>905</v>
      </c>
      <c r="E480" s="1" t="s">
        <v>860</v>
      </c>
      <c r="F480" s="1" t="s">
        <v>2210</v>
      </c>
      <c r="G480" s="1" t="s">
        <v>2411</v>
      </c>
      <c r="H480" s="1" t="s">
        <v>906</v>
      </c>
      <c r="I480" s="1" t="s">
        <v>2220</v>
      </c>
      <c r="J480" s="1" t="s">
        <v>2432</v>
      </c>
      <c r="K480" s="3">
        <v>115</v>
      </c>
      <c r="L480" s="4">
        <v>34</v>
      </c>
      <c r="M480" s="4">
        <f t="shared" si="7"/>
        <v>3910</v>
      </c>
    </row>
    <row r="481" spans="1:13" ht="15.75" customHeight="1">
      <c r="A481" s="1" t="s">
        <v>909</v>
      </c>
      <c r="B481" s="1" t="str">
        <f>"197256353759"</f>
        <v>197256353759</v>
      </c>
      <c r="C481" s="1" t="s">
        <v>910</v>
      </c>
      <c r="D481" s="2" t="s">
        <v>905</v>
      </c>
      <c r="E481" s="1" t="s">
        <v>860</v>
      </c>
      <c r="F481" s="1" t="s">
        <v>2210</v>
      </c>
      <c r="G481" s="1" t="s">
        <v>2219</v>
      </c>
      <c r="H481" s="1" t="s">
        <v>906</v>
      </c>
      <c r="I481" s="1" t="s">
        <v>2220</v>
      </c>
      <c r="J481" s="1" t="s">
        <v>2432</v>
      </c>
      <c r="K481" s="3">
        <v>33</v>
      </c>
      <c r="L481" s="4">
        <v>34</v>
      </c>
      <c r="M481" s="4">
        <f t="shared" si="7"/>
        <v>1122</v>
      </c>
    </row>
    <row r="482" spans="1:13" ht="15.75" customHeight="1">
      <c r="A482" s="1" t="s">
        <v>911</v>
      </c>
      <c r="B482" s="1" t="str">
        <f>"197256353858"</f>
        <v>197256353858</v>
      </c>
      <c r="C482" s="1" t="s">
        <v>912</v>
      </c>
      <c r="D482" s="2" t="s">
        <v>913</v>
      </c>
      <c r="E482" s="1" t="s">
        <v>860</v>
      </c>
      <c r="F482" s="1" t="s">
        <v>914</v>
      </c>
      <c r="G482" s="1" t="s">
        <v>2219</v>
      </c>
      <c r="H482" s="1" t="s">
        <v>906</v>
      </c>
      <c r="I482" s="1" t="s">
        <v>2220</v>
      </c>
      <c r="J482" s="1" t="s">
        <v>2432</v>
      </c>
      <c r="K482" s="3">
        <v>1</v>
      </c>
      <c r="L482" s="4">
        <v>34</v>
      </c>
      <c r="M482" s="4">
        <f t="shared" si="7"/>
        <v>34</v>
      </c>
    </row>
    <row r="483" spans="1:13" ht="15.75" customHeight="1">
      <c r="A483" s="1" t="s">
        <v>915</v>
      </c>
      <c r="B483" s="1" t="str">
        <f>"197256353902"</f>
        <v>197256353902</v>
      </c>
      <c r="C483" s="1" t="s">
        <v>916</v>
      </c>
      <c r="D483" s="2" t="s">
        <v>917</v>
      </c>
      <c r="E483" s="1" t="s">
        <v>860</v>
      </c>
      <c r="F483" s="1" t="s">
        <v>2813</v>
      </c>
      <c r="G483" s="1" t="s">
        <v>2219</v>
      </c>
      <c r="H483" s="1" t="s">
        <v>906</v>
      </c>
      <c r="I483" s="1" t="s">
        <v>2220</v>
      </c>
      <c r="J483" s="1" t="s">
        <v>2432</v>
      </c>
      <c r="K483" s="3">
        <v>4</v>
      </c>
      <c r="L483" s="4">
        <v>34</v>
      </c>
      <c r="M483" s="4">
        <f t="shared" si="7"/>
        <v>136</v>
      </c>
    </row>
    <row r="484" spans="1:13" ht="15.75" customHeight="1">
      <c r="A484" s="1" t="s">
        <v>918</v>
      </c>
      <c r="B484" s="1" t="str">
        <f>"721357448788"</f>
        <v>721357448788</v>
      </c>
      <c r="C484" s="1" t="s">
        <v>919</v>
      </c>
      <c r="D484" s="2" t="s">
        <v>920</v>
      </c>
      <c r="E484" s="1" t="s">
        <v>860</v>
      </c>
      <c r="F484" s="1" t="s">
        <v>2210</v>
      </c>
      <c r="G484" s="1" t="s">
        <v>2219</v>
      </c>
      <c r="H484" s="1" t="s">
        <v>921</v>
      </c>
      <c r="I484" s="1" t="s">
        <v>2220</v>
      </c>
      <c r="J484" s="1" t="s">
        <v>2432</v>
      </c>
      <c r="K484" s="3">
        <v>36</v>
      </c>
      <c r="L484" s="4">
        <v>20</v>
      </c>
      <c r="M484" s="4">
        <f t="shared" si="7"/>
        <v>720</v>
      </c>
    </row>
    <row r="485" spans="1:13" ht="15.75" customHeight="1">
      <c r="A485" s="1" t="s">
        <v>922</v>
      </c>
      <c r="B485" s="1" t="str">
        <f>"721357448801"</f>
        <v>721357448801</v>
      </c>
      <c r="C485" s="1" t="s">
        <v>923</v>
      </c>
      <c r="D485" s="2"/>
      <c r="E485" s="1" t="s">
        <v>860</v>
      </c>
      <c r="F485" s="1" t="s">
        <v>924</v>
      </c>
      <c r="G485" s="1" t="s">
        <v>2211</v>
      </c>
      <c r="H485" s="1" t="s">
        <v>925</v>
      </c>
      <c r="I485" s="1" t="s">
        <v>2220</v>
      </c>
      <c r="J485" s="1" t="s">
        <v>2432</v>
      </c>
      <c r="K485" s="3">
        <v>1</v>
      </c>
      <c r="L485" s="4">
        <v>20</v>
      </c>
      <c r="M485" s="4">
        <f t="shared" si="7"/>
        <v>20</v>
      </c>
    </row>
    <row r="486" spans="1:13" ht="15.75" customHeight="1">
      <c r="A486" s="1" t="s">
        <v>926</v>
      </c>
      <c r="B486" s="1" t="str">
        <f>"721357448818"</f>
        <v>721357448818</v>
      </c>
      <c r="C486" s="1" t="s">
        <v>927</v>
      </c>
      <c r="D486" s="2"/>
      <c r="E486" s="1" t="s">
        <v>860</v>
      </c>
      <c r="F486" s="1" t="s">
        <v>924</v>
      </c>
      <c r="G486" s="1" t="s">
        <v>2411</v>
      </c>
      <c r="H486" s="1" t="s">
        <v>925</v>
      </c>
      <c r="I486" s="1" t="s">
        <v>2220</v>
      </c>
      <c r="J486" s="1" t="s">
        <v>2432</v>
      </c>
      <c r="K486" s="3">
        <v>3</v>
      </c>
      <c r="L486" s="4">
        <v>20</v>
      </c>
      <c r="M486" s="4">
        <f t="shared" si="7"/>
        <v>60</v>
      </c>
    </row>
    <row r="487" spans="1:13" ht="15.75" customHeight="1">
      <c r="A487" s="1" t="s">
        <v>928</v>
      </c>
      <c r="B487" s="1" t="str">
        <f>"721357448825"</f>
        <v>721357448825</v>
      </c>
      <c r="C487" s="1" t="s">
        <v>929</v>
      </c>
      <c r="D487" s="2" t="s">
        <v>930</v>
      </c>
      <c r="E487" s="1" t="s">
        <v>860</v>
      </c>
      <c r="F487" s="1" t="s">
        <v>924</v>
      </c>
      <c r="G487" s="1" t="s">
        <v>2219</v>
      </c>
      <c r="H487" s="1" t="s">
        <v>925</v>
      </c>
      <c r="I487" s="1" t="s">
        <v>2220</v>
      </c>
      <c r="J487" s="1" t="s">
        <v>2432</v>
      </c>
      <c r="K487" s="3">
        <v>44</v>
      </c>
      <c r="L487" s="4">
        <v>20</v>
      </c>
      <c r="M487" s="4">
        <f t="shared" si="7"/>
        <v>880</v>
      </c>
    </row>
    <row r="488" spans="1:13" ht="15.75" customHeight="1">
      <c r="A488" s="1" t="s">
        <v>931</v>
      </c>
      <c r="B488" s="1" t="str">
        <f>"197256354176"</f>
        <v>197256354176</v>
      </c>
      <c r="C488" s="1" t="s">
        <v>932</v>
      </c>
      <c r="D488" s="2" t="s">
        <v>933</v>
      </c>
      <c r="E488" s="1" t="s">
        <v>860</v>
      </c>
      <c r="F488" s="1" t="s">
        <v>2210</v>
      </c>
      <c r="G488" s="1" t="s">
        <v>2211</v>
      </c>
      <c r="H488" s="1" t="s">
        <v>934</v>
      </c>
      <c r="I488" s="1" t="s">
        <v>2220</v>
      </c>
      <c r="J488" s="1" t="s">
        <v>2432</v>
      </c>
      <c r="K488" s="3">
        <v>45</v>
      </c>
      <c r="L488" s="4">
        <v>34</v>
      </c>
      <c r="M488" s="4">
        <f t="shared" si="7"/>
        <v>1530</v>
      </c>
    </row>
    <row r="489" spans="1:13" ht="15.75" customHeight="1">
      <c r="A489" s="1" t="s">
        <v>935</v>
      </c>
      <c r="B489" s="1" t="str">
        <f>"197256354169"</f>
        <v>197256354169</v>
      </c>
      <c r="C489" s="1" t="s">
        <v>936</v>
      </c>
      <c r="D489" s="2" t="s">
        <v>933</v>
      </c>
      <c r="E489" s="1" t="s">
        <v>860</v>
      </c>
      <c r="F489" s="1" t="s">
        <v>2210</v>
      </c>
      <c r="G489" s="1" t="s">
        <v>2411</v>
      </c>
      <c r="H489" s="1" t="s">
        <v>934</v>
      </c>
      <c r="I489" s="1" t="s">
        <v>2220</v>
      </c>
      <c r="J489" s="1" t="s">
        <v>2432</v>
      </c>
      <c r="K489" s="3">
        <v>16</v>
      </c>
      <c r="L489" s="4">
        <v>34</v>
      </c>
      <c r="M489" s="4">
        <f t="shared" si="7"/>
        <v>544</v>
      </c>
    </row>
    <row r="490" spans="1:13" ht="15.75" customHeight="1">
      <c r="A490" s="1" t="s">
        <v>937</v>
      </c>
      <c r="B490" s="1" t="str">
        <f>"197256354152"</f>
        <v>197256354152</v>
      </c>
      <c r="C490" s="1" t="s">
        <v>938</v>
      </c>
      <c r="D490" s="2" t="s">
        <v>933</v>
      </c>
      <c r="E490" s="1" t="s">
        <v>860</v>
      </c>
      <c r="F490" s="1" t="s">
        <v>2210</v>
      </c>
      <c r="G490" s="1" t="s">
        <v>2219</v>
      </c>
      <c r="H490" s="1" t="s">
        <v>934</v>
      </c>
      <c r="I490" s="1" t="s">
        <v>2220</v>
      </c>
      <c r="J490" s="1" t="s">
        <v>2432</v>
      </c>
      <c r="K490" s="3">
        <v>29</v>
      </c>
      <c r="L490" s="4">
        <v>34</v>
      </c>
      <c r="M490" s="4">
        <f t="shared" si="7"/>
        <v>986</v>
      </c>
    </row>
    <row r="491" spans="1:13" ht="15.75" customHeight="1">
      <c r="A491" s="1" t="s">
        <v>939</v>
      </c>
      <c r="B491" s="1" t="str">
        <f>"197256354220"</f>
        <v>197256354220</v>
      </c>
      <c r="C491" s="1" t="s">
        <v>940</v>
      </c>
      <c r="D491" s="2" t="s">
        <v>941</v>
      </c>
      <c r="E491" s="1" t="s">
        <v>860</v>
      </c>
      <c r="F491" s="1" t="s">
        <v>877</v>
      </c>
      <c r="G491" s="1" t="s">
        <v>2211</v>
      </c>
      <c r="H491" s="1" t="s">
        <v>934</v>
      </c>
      <c r="I491" s="1" t="s">
        <v>2220</v>
      </c>
      <c r="J491" s="1" t="s">
        <v>2432</v>
      </c>
      <c r="K491" s="3">
        <v>1</v>
      </c>
      <c r="L491" s="4">
        <v>34</v>
      </c>
      <c r="M491" s="4">
        <f t="shared" si="7"/>
        <v>34</v>
      </c>
    </row>
    <row r="492" spans="1:13" ht="15.75" customHeight="1">
      <c r="A492" s="1" t="s">
        <v>942</v>
      </c>
      <c r="B492" s="1" t="str">
        <f>"197256354251"</f>
        <v>197256354251</v>
      </c>
      <c r="C492" s="1" t="s">
        <v>943</v>
      </c>
      <c r="D492" s="2" t="s">
        <v>944</v>
      </c>
      <c r="E492" s="1" t="s">
        <v>860</v>
      </c>
      <c r="F492" s="1" t="s">
        <v>914</v>
      </c>
      <c r="G492" s="1" t="s">
        <v>2219</v>
      </c>
      <c r="H492" s="1" t="s">
        <v>934</v>
      </c>
      <c r="I492" s="1" t="s">
        <v>2220</v>
      </c>
      <c r="J492" s="1" t="s">
        <v>2432</v>
      </c>
      <c r="K492" s="3">
        <v>1</v>
      </c>
      <c r="L492" s="4">
        <v>34</v>
      </c>
      <c r="M492" s="4">
        <f t="shared" si="7"/>
        <v>34</v>
      </c>
    </row>
    <row r="493" spans="1:13" ht="15.75" customHeight="1">
      <c r="A493" s="1" t="s">
        <v>945</v>
      </c>
      <c r="B493" s="1" t="str">
        <f>"197256354312"</f>
        <v>197256354312</v>
      </c>
      <c r="C493" s="1" t="s">
        <v>946</v>
      </c>
      <c r="D493" s="2" t="s">
        <v>947</v>
      </c>
      <c r="E493" s="1" t="s">
        <v>860</v>
      </c>
      <c r="F493" s="1" t="s">
        <v>948</v>
      </c>
      <c r="G493" s="1" t="s">
        <v>2411</v>
      </c>
      <c r="H493" s="1" t="s">
        <v>934</v>
      </c>
      <c r="I493" s="1" t="s">
        <v>2220</v>
      </c>
      <c r="J493" s="1" t="s">
        <v>2432</v>
      </c>
      <c r="K493" s="3">
        <v>1</v>
      </c>
      <c r="L493" s="4">
        <v>34</v>
      </c>
      <c r="M493" s="4">
        <f t="shared" si="7"/>
        <v>34</v>
      </c>
    </row>
    <row r="494" spans="1:13" ht="15.75" customHeight="1">
      <c r="A494" s="1" t="s">
        <v>949</v>
      </c>
      <c r="B494" s="1" t="str">
        <f>"197256944155"</f>
        <v>197256944155</v>
      </c>
      <c r="C494" s="1" t="s">
        <v>950</v>
      </c>
      <c r="D494" s="2" t="s">
        <v>951</v>
      </c>
      <c r="E494" s="1" t="s">
        <v>860</v>
      </c>
      <c r="F494" s="1" t="s">
        <v>952</v>
      </c>
      <c r="G494" s="1" t="s">
        <v>2411</v>
      </c>
      <c r="H494" s="1" t="s">
        <v>953</v>
      </c>
      <c r="I494" s="1" t="s">
        <v>2220</v>
      </c>
      <c r="J494" s="1" t="s">
        <v>954</v>
      </c>
      <c r="K494" s="3">
        <v>191</v>
      </c>
      <c r="L494" s="4">
        <v>40</v>
      </c>
      <c r="M494" s="4">
        <f t="shared" si="7"/>
        <v>7640</v>
      </c>
    </row>
    <row r="495" spans="1:13" ht="15.75" customHeight="1">
      <c r="A495" s="1" t="s">
        <v>955</v>
      </c>
      <c r="B495" s="1" t="str">
        <f>"197256944148"</f>
        <v>197256944148</v>
      </c>
      <c r="C495" s="1" t="s">
        <v>956</v>
      </c>
      <c r="D495" s="2" t="s">
        <v>951</v>
      </c>
      <c r="E495" s="1" t="s">
        <v>860</v>
      </c>
      <c r="F495" s="1" t="s">
        <v>952</v>
      </c>
      <c r="G495" s="1" t="s">
        <v>2219</v>
      </c>
      <c r="H495" s="1" t="s">
        <v>953</v>
      </c>
      <c r="I495" s="1" t="s">
        <v>2220</v>
      </c>
      <c r="J495" s="1" t="s">
        <v>954</v>
      </c>
      <c r="K495" s="3">
        <v>137</v>
      </c>
      <c r="L495" s="4">
        <v>40</v>
      </c>
      <c r="M495" s="4">
        <f t="shared" si="7"/>
        <v>5480</v>
      </c>
    </row>
    <row r="496" spans="1:13" ht="15.75" customHeight="1">
      <c r="A496" s="1" t="s">
        <v>957</v>
      </c>
      <c r="B496" s="1" t="str">
        <f>"197256449742"</f>
        <v>197256449742</v>
      </c>
      <c r="C496" s="1" t="s">
        <v>958</v>
      </c>
      <c r="D496" s="2" t="s">
        <v>959</v>
      </c>
      <c r="E496" s="1" t="s">
        <v>860</v>
      </c>
      <c r="F496" s="1" t="s">
        <v>960</v>
      </c>
      <c r="G496" s="1" t="s">
        <v>2411</v>
      </c>
      <c r="H496" s="1" t="s">
        <v>961</v>
      </c>
      <c r="I496" s="1" t="s">
        <v>2220</v>
      </c>
      <c r="J496" s="1" t="s">
        <v>2428</v>
      </c>
      <c r="K496" s="3">
        <v>105</v>
      </c>
      <c r="L496" s="4">
        <v>30</v>
      </c>
      <c r="M496" s="4">
        <f t="shared" si="7"/>
        <v>3150</v>
      </c>
    </row>
    <row r="497" spans="1:13" ht="15.75" customHeight="1">
      <c r="A497" s="1" t="s">
        <v>962</v>
      </c>
      <c r="B497" s="1" t="str">
        <f>"197256449735"</f>
        <v>197256449735</v>
      </c>
      <c r="C497" s="1" t="s">
        <v>963</v>
      </c>
      <c r="D497" s="2" t="s">
        <v>959</v>
      </c>
      <c r="E497" s="1" t="s">
        <v>860</v>
      </c>
      <c r="F497" s="1" t="s">
        <v>960</v>
      </c>
      <c r="G497" s="1" t="s">
        <v>2219</v>
      </c>
      <c r="H497" s="1" t="s">
        <v>961</v>
      </c>
      <c r="I497" s="1" t="s">
        <v>2220</v>
      </c>
      <c r="J497" s="1" t="s">
        <v>2428</v>
      </c>
      <c r="K497" s="3">
        <v>154</v>
      </c>
      <c r="L497" s="4">
        <v>30</v>
      </c>
      <c r="M497" s="4">
        <f t="shared" si="7"/>
        <v>4620</v>
      </c>
    </row>
    <row r="498" spans="1:13" ht="15.75" customHeight="1">
      <c r="A498" s="1" t="s">
        <v>964</v>
      </c>
      <c r="B498" s="1" t="str">
        <f>"197256449896"</f>
        <v>197256449896</v>
      </c>
      <c r="C498" s="1" t="s">
        <v>965</v>
      </c>
      <c r="D498" s="2" t="s">
        <v>966</v>
      </c>
      <c r="E498" s="1" t="s">
        <v>860</v>
      </c>
      <c r="F498" s="1" t="s">
        <v>967</v>
      </c>
      <c r="G498" s="1" t="s">
        <v>2411</v>
      </c>
      <c r="H498" s="1" t="s">
        <v>961</v>
      </c>
      <c r="I498" s="1" t="s">
        <v>2220</v>
      </c>
      <c r="J498" s="1" t="s">
        <v>2428</v>
      </c>
      <c r="K498" s="3">
        <v>129</v>
      </c>
      <c r="L498" s="4">
        <v>30</v>
      </c>
      <c r="M498" s="4">
        <f t="shared" si="7"/>
        <v>3870</v>
      </c>
    </row>
    <row r="499" spans="1:13" ht="15.75" customHeight="1">
      <c r="A499" s="1" t="s">
        <v>968</v>
      </c>
      <c r="B499" s="1" t="str">
        <f>"197256449889"</f>
        <v>197256449889</v>
      </c>
      <c r="C499" s="1" t="s">
        <v>969</v>
      </c>
      <c r="D499" s="2" t="s">
        <v>966</v>
      </c>
      <c r="E499" s="1" t="s">
        <v>860</v>
      </c>
      <c r="F499" s="1" t="s">
        <v>967</v>
      </c>
      <c r="G499" s="1" t="s">
        <v>2219</v>
      </c>
      <c r="H499" s="1" t="s">
        <v>961</v>
      </c>
      <c r="I499" s="1" t="s">
        <v>2220</v>
      </c>
      <c r="J499" s="1" t="s">
        <v>2428</v>
      </c>
      <c r="K499" s="3">
        <v>100</v>
      </c>
      <c r="L499" s="4">
        <v>30</v>
      </c>
      <c r="M499" s="4">
        <f t="shared" si="7"/>
        <v>3000</v>
      </c>
    </row>
    <row r="500" spans="1:13" ht="15.75" customHeight="1">
      <c r="A500" s="1" t="s">
        <v>970</v>
      </c>
      <c r="B500" s="1" t="str">
        <f>"197256449582"</f>
        <v>197256449582</v>
      </c>
      <c r="C500" s="1" t="s">
        <v>971</v>
      </c>
      <c r="D500" s="2" t="s">
        <v>972</v>
      </c>
      <c r="E500" s="1" t="s">
        <v>860</v>
      </c>
      <c r="F500" s="1" t="s">
        <v>973</v>
      </c>
      <c r="G500" s="1" t="s">
        <v>2219</v>
      </c>
      <c r="H500" s="1" t="s">
        <v>961</v>
      </c>
      <c r="I500" s="1" t="s">
        <v>2220</v>
      </c>
      <c r="J500" s="1" t="s">
        <v>2428</v>
      </c>
      <c r="K500" s="3">
        <v>118</v>
      </c>
      <c r="L500" s="4">
        <v>30</v>
      </c>
      <c r="M500" s="4">
        <f t="shared" si="7"/>
        <v>3540</v>
      </c>
    </row>
    <row r="501" spans="1:13" ht="15.75" customHeight="1">
      <c r="A501" s="1" t="s">
        <v>974</v>
      </c>
      <c r="B501" s="1" t="str">
        <f>"197256449995"</f>
        <v>197256449995</v>
      </c>
      <c r="C501" s="1" t="s">
        <v>975</v>
      </c>
      <c r="D501" s="2" t="s">
        <v>976</v>
      </c>
      <c r="E501" s="1" t="s">
        <v>860</v>
      </c>
      <c r="F501" s="1" t="s">
        <v>977</v>
      </c>
      <c r="G501" s="1" t="s">
        <v>2411</v>
      </c>
      <c r="H501" s="1" t="s">
        <v>961</v>
      </c>
      <c r="I501" s="1" t="s">
        <v>2220</v>
      </c>
      <c r="J501" s="1" t="s">
        <v>2428</v>
      </c>
      <c r="K501" s="3">
        <v>268</v>
      </c>
      <c r="L501" s="4">
        <v>30</v>
      </c>
      <c r="M501" s="4">
        <f t="shared" si="7"/>
        <v>8040</v>
      </c>
    </row>
    <row r="502" spans="1:13" ht="15.75" customHeight="1">
      <c r="A502" s="1" t="s">
        <v>978</v>
      </c>
      <c r="B502" s="1" t="str">
        <f>"197256449988"</f>
        <v>197256449988</v>
      </c>
      <c r="C502" s="1" t="s">
        <v>979</v>
      </c>
      <c r="D502" s="2" t="s">
        <v>976</v>
      </c>
      <c r="E502" s="1" t="s">
        <v>860</v>
      </c>
      <c r="F502" s="1" t="s">
        <v>977</v>
      </c>
      <c r="G502" s="1" t="s">
        <v>2219</v>
      </c>
      <c r="H502" s="1" t="s">
        <v>961</v>
      </c>
      <c r="I502" s="1" t="s">
        <v>2220</v>
      </c>
      <c r="J502" s="1" t="s">
        <v>2428</v>
      </c>
      <c r="K502" s="3">
        <v>213</v>
      </c>
      <c r="L502" s="4">
        <v>30</v>
      </c>
      <c r="M502" s="4">
        <f t="shared" si="7"/>
        <v>6390</v>
      </c>
    </row>
    <row r="503" spans="1:13" ht="15.75" customHeight="1">
      <c r="A503" s="1" t="s">
        <v>980</v>
      </c>
      <c r="B503" s="1" t="str">
        <f>"197256450045"</f>
        <v>197256450045</v>
      </c>
      <c r="C503" s="1" t="s">
        <v>981</v>
      </c>
      <c r="D503" s="2" t="s">
        <v>982</v>
      </c>
      <c r="E503" s="1" t="s">
        <v>860</v>
      </c>
      <c r="F503" s="1" t="s">
        <v>983</v>
      </c>
      <c r="G503" s="1" t="s">
        <v>2411</v>
      </c>
      <c r="H503" s="1" t="s">
        <v>961</v>
      </c>
      <c r="I503" s="1" t="s">
        <v>2220</v>
      </c>
      <c r="J503" s="1" t="s">
        <v>2428</v>
      </c>
      <c r="K503" s="3">
        <v>139</v>
      </c>
      <c r="L503" s="4">
        <v>30</v>
      </c>
      <c r="M503" s="4">
        <f t="shared" si="7"/>
        <v>4170</v>
      </c>
    </row>
    <row r="504" spans="1:13" ht="15.75" customHeight="1">
      <c r="A504" s="1" t="s">
        <v>984</v>
      </c>
      <c r="B504" s="1" t="str">
        <f>"197256450038"</f>
        <v>197256450038</v>
      </c>
      <c r="C504" s="1" t="s">
        <v>985</v>
      </c>
      <c r="D504" s="2" t="s">
        <v>982</v>
      </c>
      <c r="E504" s="1" t="s">
        <v>860</v>
      </c>
      <c r="F504" s="1" t="s">
        <v>983</v>
      </c>
      <c r="G504" s="1" t="s">
        <v>2219</v>
      </c>
      <c r="H504" s="1" t="s">
        <v>961</v>
      </c>
      <c r="I504" s="1" t="s">
        <v>2220</v>
      </c>
      <c r="J504" s="1" t="s">
        <v>2428</v>
      </c>
      <c r="K504" s="3">
        <v>150</v>
      </c>
      <c r="L504" s="4">
        <v>30</v>
      </c>
      <c r="M504" s="4">
        <f t="shared" si="7"/>
        <v>4500</v>
      </c>
    </row>
    <row r="505" spans="1:13" ht="15.75" customHeight="1">
      <c r="A505" s="1" t="s">
        <v>986</v>
      </c>
      <c r="B505" s="1" t="str">
        <f>"197256449698"</f>
        <v>197256449698</v>
      </c>
      <c r="C505" s="1" t="s">
        <v>987</v>
      </c>
      <c r="D505" s="2" t="s">
        <v>988</v>
      </c>
      <c r="E505" s="1" t="s">
        <v>860</v>
      </c>
      <c r="F505" s="1" t="s">
        <v>989</v>
      </c>
      <c r="G505" s="1" t="s">
        <v>2411</v>
      </c>
      <c r="H505" s="1" t="s">
        <v>961</v>
      </c>
      <c r="I505" s="1" t="s">
        <v>2220</v>
      </c>
      <c r="J505" s="1" t="s">
        <v>2428</v>
      </c>
      <c r="K505" s="3">
        <v>8</v>
      </c>
      <c r="L505" s="4">
        <v>30</v>
      </c>
      <c r="M505" s="4">
        <f t="shared" si="7"/>
        <v>240</v>
      </c>
    </row>
    <row r="506" spans="1:13" ht="15.75" customHeight="1">
      <c r="A506" s="1" t="s">
        <v>990</v>
      </c>
      <c r="B506" s="1" t="str">
        <f>"197256449681"</f>
        <v>197256449681</v>
      </c>
      <c r="C506" s="1" t="s">
        <v>991</v>
      </c>
      <c r="D506" s="2" t="s">
        <v>988</v>
      </c>
      <c r="E506" s="1" t="s">
        <v>860</v>
      </c>
      <c r="F506" s="1" t="s">
        <v>989</v>
      </c>
      <c r="G506" s="1" t="s">
        <v>2219</v>
      </c>
      <c r="H506" s="1" t="s">
        <v>961</v>
      </c>
      <c r="I506" s="1" t="s">
        <v>2220</v>
      </c>
      <c r="J506" s="1" t="s">
        <v>2428</v>
      </c>
      <c r="K506" s="3">
        <v>140</v>
      </c>
      <c r="L506" s="4">
        <v>30</v>
      </c>
      <c r="M506" s="4">
        <f t="shared" si="7"/>
        <v>4200</v>
      </c>
    </row>
    <row r="507" spans="1:13" ht="15.75" customHeight="1">
      <c r="A507" s="1" t="s">
        <v>992</v>
      </c>
      <c r="B507" s="1" t="str">
        <f>"198374128137"</f>
        <v>198374128137</v>
      </c>
      <c r="C507" s="1" t="s">
        <v>993</v>
      </c>
      <c r="D507" s="2" t="s">
        <v>994</v>
      </c>
      <c r="E507" s="1" t="s">
        <v>860</v>
      </c>
      <c r="F507" s="1" t="s">
        <v>995</v>
      </c>
      <c r="G507" s="1" t="s">
        <v>2211</v>
      </c>
      <c r="H507" s="1" t="s">
        <v>996</v>
      </c>
      <c r="I507" s="1" t="s">
        <v>2220</v>
      </c>
      <c r="J507" s="1" t="s">
        <v>2911</v>
      </c>
      <c r="K507" s="3">
        <v>24</v>
      </c>
      <c r="L507" s="4">
        <v>40</v>
      </c>
      <c r="M507" s="4">
        <f t="shared" si="7"/>
        <v>960</v>
      </c>
    </row>
    <row r="508" spans="1:13" ht="15.75" customHeight="1">
      <c r="A508" s="1" t="s">
        <v>997</v>
      </c>
      <c r="B508" s="1" t="str">
        <f>"198374128120"</f>
        <v>198374128120</v>
      </c>
      <c r="C508" s="1" t="s">
        <v>998</v>
      </c>
      <c r="D508" s="2" t="s">
        <v>994</v>
      </c>
      <c r="E508" s="1" t="s">
        <v>860</v>
      </c>
      <c r="F508" s="1" t="s">
        <v>995</v>
      </c>
      <c r="G508" s="1" t="s">
        <v>2411</v>
      </c>
      <c r="H508" s="1" t="s">
        <v>996</v>
      </c>
      <c r="I508" s="1" t="s">
        <v>2220</v>
      </c>
      <c r="J508" s="1" t="s">
        <v>2911</v>
      </c>
      <c r="K508" s="3">
        <v>94</v>
      </c>
      <c r="L508" s="4">
        <v>40</v>
      </c>
      <c r="M508" s="4">
        <f t="shared" si="7"/>
        <v>3760</v>
      </c>
    </row>
    <row r="509" spans="1:13" ht="15.75" customHeight="1">
      <c r="A509" s="1" t="s">
        <v>999</v>
      </c>
      <c r="B509" s="1" t="str">
        <f>"198374128113"</f>
        <v>198374128113</v>
      </c>
      <c r="C509" s="1" t="s">
        <v>1000</v>
      </c>
      <c r="D509" s="2" t="s">
        <v>994</v>
      </c>
      <c r="E509" s="1" t="s">
        <v>860</v>
      </c>
      <c r="F509" s="1" t="s">
        <v>995</v>
      </c>
      <c r="G509" s="1" t="s">
        <v>2219</v>
      </c>
      <c r="H509" s="1" t="s">
        <v>996</v>
      </c>
      <c r="I509" s="1" t="s">
        <v>2220</v>
      </c>
      <c r="J509" s="1" t="s">
        <v>2911</v>
      </c>
      <c r="K509" s="3">
        <v>101</v>
      </c>
      <c r="L509" s="4">
        <v>40</v>
      </c>
      <c r="M509" s="4">
        <f t="shared" si="7"/>
        <v>4040</v>
      </c>
    </row>
    <row r="510" spans="1:13" ht="15.75" customHeight="1">
      <c r="A510" s="1" t="s">
        <v>1001</v>
      </c>
      <c r="B510" s="1" t="str">
        <f>"198374128182"</f>
        <v>198374128182</v>
      </c>
      <c r="C510" s="1" t="s">
        <v>1002</v>
      </c>
      <c r="D510" s="2" t="s">
        <v>1003</v>
      </c>
      <c r="E510" s="1" t="s">
        <v>860</v>
      </c>
      <c r="F510" s="1" t="s">
        <v>2210</v>
      </c>
      <c r="G510" s="1" t="s">
        <v>2211</v>
      </c>
      <c r="H510" s="1" t="s">
        <v>996</v>
      </c>
      <c r="I510" s="1" t="s">
        <v>2220</v>
      </c>
      <c r="J510" s="1" t="s">
        <v>2911</v>
      </c>
      <c r="K510" s="3">
        <v>119</v>
      </c>
      <c r="L510" s="4">
        <v>40</v>
      </c>
      <c r="M510" s="4">
        <f t="shared" si="7"/>
        <v>4760</v>
      </c>
    </row>
    <row r="511" spans="1:13" ht="15.75" customHeight="1">
      <c r="A511" s="1" t="s">
        <v>1004</v>
      </c>
      <c r="B511" s="1" t="str">
        <f>"198374128175"</f>
        <v>198374128175</v>
      </c>
      <c r="C511" s="1" t="s">
        <v>1005</v>
      </c>
      <c r="D511" s="2" t="s">
        <v>1003</v>
      </c>
      <c r="E511" s="1" t="s">
        <v>860</v>
      </c>
      <c r="F511" s="1" t="s">
        <v>2210</v>
      </c>
      <c r="G511" s="1" t="s">
        <v>2411</v>
      </c>
      <c r="H511" s="1" t="s">
        <v>996</v>
      </c>
      <c r="I511" s="1" t="s">
        <v>2220</v>
      </c>
      <c r="J511" s="1" t="s">
        <v>2911</v>
      </c>
      <c r="K511" s="3">
        <v>334</v>
      </c>
      <c r="L511" s="4">
        <v>40</v>
      </c>
      <c r="M511" s="4">
        <f t="shared" si="7"/>
        <v>13360</v>
      </c>
    </row>
    <row r="512" spans="1:13" ht="15.75" customHeight="1">
      <c r="A512" s="1" t="s">
        <v>1006</v>
      </c>
      <c r="B512" s="1" t="str">
        <f>"198374128168"</f>
        <v>198374128168</v>
      </c>
      <c r="C512" s="1" t="s">
        <v>1007</v>
      </c>
      <c r="D512" s="2" t="s">
        <v>1003</v>
      </c>
      <c r="E512" s="1" t="s">
        <v>860</v>
      </c>
      <c r="F512" s="1" t="s">
        <v>2210</v>
      </c>
      <c r="G512" s="1" t="s">
        <v>2219</v>
      </c>
      <c r="H512" s="1" t="s">
        <v>996</v>
      </c>
      <c r="I512" s="1" t="s">
        <v>2220</v>
      </c>
      <c r="J512" s="1" t="s">
        <v>2911</v>
      </c>
      <c r="K512" s="3">
        <v>197</v>
      </c>
      <c r="L512" s="4">
        <v>40</v>
      </c>
      <c r="M512" s="4">
        <f t="shared" si="7"/>
        <v>7880</v>
      </c>
    </row>
    <row r="513" spans="1:13" ht="15.75" customHeight="1">
      <c r="A513" s="1" t="s">
        <v>1008</v>
      </c>
      <c r="B513" s="1" t="str">
        <f>"198374128229"</f>
        <v>198374128229</v>
      </c>
      <c r="C513" s="1" t="s">
        <v>1009</v>
      </c>
      <c r="D513" s="2" t="s">
        <v>1010</v>
      </c>
      <c r="E513" s="1" t="s">
        <v>860</v>
      </c>
      <c r="F513" s="1" t="s">
        <v>877</v>
      </c>
      <c r="G513" s="1" t="s">
        <v>2411</v>
      </c>
      <c r="H513" s="1" t="s">
        <v>996</v>
      </c>
      <c r="I513" s="1" t="s">
        <v>2220</v>
      </c>
      <c r="J513" s="1" t="s">
        <v>2911</v>
      </c>
      <c r="K513" s="3">
        <v>78</v>
      </c>
      <c r="L513" s="4">
        <v>40</v>
      </c>
      <c r="M513" s="4">
        <f t="shared" si="7"/>
        <v>3120</v>
      </c>
    </row>
    <row r="514" spans="1:13" ht="15.75" customHeight="1">
      <c r="A514" s="1" t="s">
        <v>1011</v>
      </c>
      <c r="B514" s="1" t="str">
        <f>"198374128212"</f>
        <v>198374128212</v>
      </c>
      <c r="C514" s="1" t="s">
        <v>1012</v>
      </c>
      <c r="D514" s="2" t="s">
        <v>1010</v>
      </c>
      <c r="E514" s="1" t="s">
        <v>860</v>
      </c>
      <c r="F514" s="1" t="s">
        <v>877</v>
      </c>
      <c r="G514" s="1" t="s">
        <v>2219</v>
      </c>
      <c r="H514" s="1" t="s">
        <v>996</v>
      </c>
      <c r="I514" s="1" t="s">
        <v>2220</v>
      </c>
      <c r="J514" s="1" t="s">
        <v>2911</v>
      </c>
      <c r="K514" s="3">
        <v>86</v>
      </c>
      <c r="L514" s="4">
        <v>40</v>
      </c>
      <c r="M514" s="4">
        <f t="shared" ref="M514:M577" si="8">L514*K514</f>
        <v>3440</v>
      </c>
    </row>
    <row r="515" spans="1:13" ht="15.75" customHeight="1">
      <c r="A515" s="1" t="s">
        <v>1013</v>
      </c>
      <c r="B515" s="1" t="str">
        <f>"198374128274"</f>
        <v>198374128274</v>
      </c>
      <c r="C515" s="1" t="s">
        <v>1014</v>
      </c>
      <c r="D515" s="2" t="s">
        <v>1015</v>
      </c>
      <c r="E515" s="1" t="s">
        <v>860</v>
      </c>
      <c r="F515" s="1" t="s">
        <v>1016</v>
      </c>
      <c r="G515" s="1" t="s">
        <v>2411</v>
      </c>
      <c r="H515" s="1" t="s">
        <v>996</v>
      </c>
      <c r="I515" s="1" t="s">
        <v>2220</v>
      </c>
      <c r="J515" s="1" t="s">
        <v>2911</v>
      </c>
      <c r="K515" s="3">
        <v>15</v>
      </c>
      <c r="L515" s="4">
        <v>40</v>
      </c>
      <c r="M515" s="4">
        <f t="shared" si="8"/>
        <v>600</v>
      </c>
    </row>
    <row r="516" spans="1:13" ht="15.75" customHeight="1">
      <c r="A516" s="1" t="s">
        <v>1017</v>
      </c>
      <c r="B516" s="1" t="str">
        <f>"198374128267"</f>
        <v>198374128267</v>
      </c>
      <c r="C516" s="1" t="s">
        <v>1018</v>
      </c>
      <c r="D516" s="2" t="s">
        <v>1015</v>
      </c>
      <c r="E516" s="1" t="s">
        <v>860</v>
      </c>
      <c r="F516" s="1" t="s">
        <v>1016</v>
      </c>
      <c r="G516" s="1" t="s">
        <v>2219</v>
      </c>
      <c r="H516" s="1" t="s">
        <v>996</v>
      </c>
      <c r="I516" s="1" t="s">
        <v>2220</v>
      </c>
      <c r="J516" s="1" t="s">
        <v>2911</v>
      </c>
      <c r="K516" s="3">
        <v>4</v>
      </c>
      <c r="L516" s="4">
        <v>40</v>
      </c>
      <c r="M516" s="4">
        <f t="shared" si="8"/>
        <v>160</v>
      </c>
    </row>
    <row r="517" spans="1:13" ht="15.75" customHeight="1">
      <c r="A517" s="1" t="s">
        <v>1019</v>
      </c>
      <c r="B517" s="1" t="str">
        <f>"198374125082"</f>
        <v>198374125082</v>
      </c>
      <c r="C517" s="1" t="s">
        <v>1020</v>
      </c>
      <c r="D517" s="2" t="s">
        <v>1021</v>
      </c>
      <c r="E517" s="1" t="s">
        <v>860</v>
      </c>
      <c r="F517" s="1" t="s">
        <v>1022</v>
      </c>
      <c r="G517" s="1" t="s">
        <v>2211</v>
      </c>
      <c r="H517" s="1" t="s">
        <v>1023</v>
      </c>
      <c r="I517" s="1" t="s">
        <v>2220</v>
      </c>
      <c r="J517" s="1" t="s">
        <v>2827</v>
      </c>
      <c r="K517" s="3">
        <v>134</v>
      </c>
      <c r="L517" s="4">
        <v>40</v>
      </c>
      <c r="M517" s="4">
        <f t="shared" si="8"/>
        <v>5360</v>
      </c>
    </row>
    <row r="518" spans="1:13" ht="15.75" customHeight="1">
      <c r="A518" s="1" t="s">
        <v>1024</v>
      </c>
      <c r="B518" s="1" t="str">
        <f>"198374125075"</f>
        <v>198374125075</v>
      </c>
      <c r="C518" s="1" t="s">
        <v>1025</v>
      </c>
      <c r="D518" s="2" t="s">
        <v>1021</v>
      </c>
      <c r="E518" s="1" t="s">
        <v>860</v>
      </c>
      <c r="F518" s="1" t="s">
        <v>1022</v>
      </c>
      <c r="G518" s="1" t="s">
        <v>2411</v>
      </c>
      <c r="H518" s="1" t="s">
        <v>1023</v>
      </c>
      <c r="I518" s="1" t="s">
        <v>2220</v>
      </c>
      <c r="J518" s="1" t="s">
        <v>2827</v>
      </c>
      <c r="K518" s="3">
        <v>158</v>
      </c>
      <c r="L518" s="4">
        <v>40</v>
      </c>
      <c r="M518" s="4">
        <f t="shared" si="8"/>
        <v>6320</v>
      </c>
    </row>
    <row r="519" spans="1:13" ht="15.75" customHeight="1">
      <c r="A519" s="1" t="s">
        <v>1026</v>
      </c>
      <c r="B519" s="1" t="str">
        <f>"198374125068"</f>
        <v>198374125068</v>
      </c>
      <c r="C519" s="1" t="s">
        <v>1027</v>
      </c>
      <c r="D519" s="2" t="s">
        <v>1021</v>
      </c>
      <c r="E519" s="1" t="s">
        <v>860</v>
      </c>
      <c r="F519" s="1" t="s">
        <v>1022</v>
      </c>
      <c r="G519" s="1" t="s">
        <v>2219</v>
      </c>
      <c r="H519" s="1" t="s">
        <v>1023</v>
      </c>
      <c r="I519" s="1" t="s">
        <v>2220</v>
      </c>
      <c r="J519" s="1" t="s">
        <v>2827</v>
      </c>
      <c r="K519" s="3">
        <v>115</v>
      </c>
      <c r="L519" s="4">
        <v>40</v>
      </c>
      <c r="M519" s="4">
        <f t="shared" si="8"/>
        <v>4600</v>
      </c>
    </row>
    <row r="520" spans="1:13" ht="15.75" customHeight="1">
      <c r="A520" s="1" t="s">
        <v>1028</v>
      </c>
      <c r="B520" s="1" t="str">
        <f>"198374125099"</f>
        <v>198374125099</v>
      </c>
      <c r="C520" s="1" t="s">
        <v>1029</v>
      </c>
      <c r="D520" s="2" t="s">
        <v>1021</v>
      </c>
      <c r="E520" s="1" t="s">
        <v>860</v>
      </c>
      <c r="F520" s="1" t="s">
        <v>1022</v>
      </c>
      <c r="G520" s="1" t="s">
        <v>2418</v>
      </c>
      <c r="H520" s="1" t="s">
        <v>1023</v>
      </c>
      <c r="I520" s="1" t="s">
        <v>2220</v>
      </c>
      <c r="J520" s="1" t="s">
        <v>2827</v>
      </c>
      <c r="K520" s="3">
        <v>16</v>
      </c>
      <c r="L520" s="4">
        <v>40</v>
      </c>
      <c r="M520" s="4">
        <f t="shared" si="8"/>
        <v>640</v>
      </c>
    </row>
    <row r="521" spans="1:13" ht="15.75" customHeight="1">
      <c r="A521" s="1" t="s">
        <v>1030</v>
      </c>
      <c r="B521" s="1" t="str">
        <f>"198374123064"</f>
        <v>198374123064</v>
      </c>
      <c r="C521" s="1" t="s">
        <v>1031</v>
      </c>
      <c r="D521" s="2" t="s">
        <v>1032</v>
      </c>
      <c r="E521" s="1" t="s">
        <v>860</v>
      </c>
      <c r="F521" s="1" t="s">
        <v>2210</v>
      </c>
      <c r="G521" s="1" t="s">
        <v>2211</v>
      </c>
      <c r="H521" s="1" t="s">
        <v>1023</v>
      </c>
      <c r="I521" s="1" t="s">
        <v>2220</v>
      </c>
      <c r="J521" s="1" t="s">
        <v>2827</v>
      </c>
      <c r="K521" s="3">
        <v>254</v>
      </c>
      <c r="L521" s="4">
        <v>40</v>
      </c>
      <c r="M521" s="4">
        <f t="shared" si="8"/>
        <v>10160</v>
      </c>
    </row>
    <row r="522" spans="1:13" ht="15.75" customHeight="1">
      <c r="A522" s="1" t="s">
        <v>1033</v>
      </c>
      <c r="B522" s="1" t="str">
        <f>"198374123057"</f>
        <v>198374123057</v>
      </c>
      <c r="C522" s="1" t="s">
        <v>1034</v>
      </c>
      <c r="D522" s="2" t="s">
        <v>1032</v>
      </c>
      <c r="E522" s="1" t="s">
        <v>860</v>
      </c>
      <c r="F522" s="1" t="s">
        <v>2210</v>
      </c>
      <c r="G522" s="1" t="s">
        <v>2411</v>
      </c>
      <c r="H522" s="1" t="s">
        <v>1023</v>
      </c>
      <c r="I522" s="1" t="s">
        <v>2220</v>
      </c>
      <c r="J522" s="1" t="s">
        <v>2827</v>
      </c>
      <c r="K522" s="3">
        <v>358</v>
      </c>
      <c r="L522" s="4">
        <v>40</v>
      </c>
      <c r="M522" s="4">
        <f t="shared" si="8"/>
        <v>14320</v>
      </c>
    </row>
    <row r="523" spans="1:13" ht="15.75" customHeight="1">
      <c r="A523" s="1" t="s">
        <v>1035</v>
      </c>
      <c r="B523" s="1" t="str">
        <f>"198374123040"</f>
        <v>198374123040</v>
      </c>
      <c r="C523" s="1" t="s">
        <v>1036</v>
      </c>
      <c r="D523" s="2" t="s">
        <v>1032</v>
      </c>
      <c r="E523" s="1" t="s">
        <v>860</v>
      </c>
      <c r="F523" s="1" t="s">
        <v>2210</v>
      </c>
      <c r="G523" s="1" t="s">
        <v>2219</v>
      </c>
      <c r="H523" s="1" t="s">
        <v>1023</v>
      </c>
      <c r="I523" s="1" t="s">
        <v>2220</v>
      </c>
      <c r="J523" s="1" t="s">
        <v>2827</v>
      </c>
      <c r="K523" s="3">
        <v>211</v>
      </c>
      <c r="L523" s="4">
        <v>40</v>
      </c>
      <c r="M523" s="4">
        <f t="shared" si="8"/>
        <v>8440</v>
      </c>
    </row>
    <row r="524" spans="1:13" ht="15.75" customHeight="1">
      <c r="A524" s="1" t="s">
        <v>1037</v>
      </c>
      <c r="B524" s="1" t="str">
        <f>"198374123071"</f>
        <v>198374123071</v>
      </c>
      <c r="C524" s="1" t="s">
        <v>1038</v>
      </c>
      <c r="D524" s="2" t="s">
        <v>1032</v>
      </c>
      <c r="E524" s="1" t="s">
        <v>860</v>
      </c>
      <c r="F524" s="1" t="s">
        <v>2210</v>
      </c>
      <c r="G524" s="1" t="s">
        <v>2418</v>
      </c>
      <c r="H524" s="1" t="s">
        <v>1023</v>
      </c>
      <c r="I524" s="1" t="s">
        <v>2220</v>
      </c>
      <c r="J524" s="1" t="s">
        <v>2827</v>
      </c>
      <c r="K524" s="3">
        <v>58</v>
      </c>
      <c r="L524" s="4">
        <v>40</v>
      </c>
      <c r="M524" s="4">
        <f t="shared" si="8"/>
        <v>2320</v>
      </c>
    </row>
    <row r="525" spans="1:13" ht="15.75" customHeight="1">
      <c r="A525" s="1" t="s">
        <v>1039</v>
      </c>
      <c r="B525" s="1" t="str">
        <f>"198374125136"</f>
        <v>198374125136</v>
      </c>
      <c r="C525" s="1" t="s">
        <v>1040</v>
      </c>
      <c r="D525" s="2" t="s">
        <v>1041</v>
      </c>
      <c r="E525" s="1" t="s">
        <v>860</v>
      </c>
      <c r="F525" s="1" t="s">
        <v>2272</v>
      </c>
      <c r="G525" s="1" t="s">
        <v>2211</v>
      </c>
      <c r="H525" s="1" t="s">
        <v>1023</v>
      </c>
      <c r="I525" s="1" t="s">
        <v>2220</v>
      </c>
      <c r="J525" s="1" t="s">
        <v>2827</v>
      </c>
      <c r="K525" s="3">
        <v>191</v>
      </c>
      <c r="L525" s="4">
        <v>40</v>
      </c>
      <c r="M525" s="4">
        <f t="shared" si="8"/>
        <v>7640</v>
      </c>
    </row>
    <row r="526" spans="1:13" ht="15.75" customHeight="1">
      <c r="A526" s="1" t="s">
        <v>1042</v>
      </c>
      <c r="B526" s="1" t="str">
        <f>"198374125129"</f>
        <v>198374125129</v>
      </c>
      <c r="C526" s="1" t="s">
        <v>1043</v>
      </c>
      <c r="D526" s="2" t="s">
        <v>1041</v>
      </c>
      <c r="E526" s="1" t="s">
        <v>860</v>
      </c>
      <c r="F526" s="1" t="s">
        <v>2272</v>
      </c>
      <c r="G526" s="1" t="s">
        <v>2411</v>
      </c>
      <c r="H526" s="1" t="s">
        <v>1023</v>
      </c>
      <c r="I526" s="1" t="s">
        <v>2220</v>
      </c>
      <c r="J526" s="1" t="s">
        <v>2827</v>
      </c>
      <c r="K526" s="3">
        <v>210</v>
      </c>
      <c r="L526" s="4">
        <v>40</v>
      </c>
      <c r="M526" s="4">
        <f t="shared" si="8"/>
        <v>8400</v>
      </c>
    </row>
    <row r="527" spans="1:13" ht="15.75" customHeight="1">
      <c r="A527" s="1" t="s">
        <v>1044</v>
      </c>
      <c r="B527" s="1" t="str">
        <f>"198374125143"</f>
        <v>198374125143</v>
      </c>
      <c r="C527" s="1" t="s">
        <v>1045</v>
      </c>
      <c r="D527" s="2" t="s">
        <v>1041</v>
      </c>
      <c r="E527" s="1" t="s">
        <v>860</v>
      </c>
      <c r="F527" s="1" t="s">
        <v>2272</v>
      </c>
      <c r="G527" s="1" t="s">
        <v>2418</v>
      </c>
      <c r="H527" s="1" t="s">
        <v>1023</v>
      </c>
      <c r="I527" s="1" t="s">
        <v>2220</v>
      </c>
      <c r="J527" s="1" t="s">
        <v>2827</v>
      </c>
      <c r="K527" s="3">
        <v>50</v>
      </c>
      <c r="L527" s="4">
        <v>40</v>
      </c>
      <c r="M527" s="4">
        <f t="shared" si="8"/>
        <v>2000</v>
      </c>
    </row>
    <row r="528" spans="1:13" ht="15.75" customHeight="1">
      <c r="A528" s="1" t="s">
        <v>1046</v>
      </c>
      <c r="B528" s="1" t="str">
        <f>"198374125181"</f>
        <v>198374125181</v>
      </c>
      <c r="C528" s="1" t="s">
        <v>1047</v>
      </c>
      <c r="D528" s="2" t="s">
        <v>1048</v>
      </c>
      <c r="E528" s="1" t="s">
        <v>860</v>
      </c>
      <c r="F528" s="1" t="s">
        <v>1016</v>
      </c>
      <c r="G528" s="1" t="s">
        <v>2211</v>
      </c>
      <c r="H528" s="1" t="s">
        <v>1023</v>
      </c>
      <c r="I528" s="1" t="s">
        <v>2220</v>
      </c>
      <c r="J528" s="1" t="s">
        <v>2827</v>
      </c>
      <c r="K528" s="3">
        <v>6</v>
      </c>
      <c r="L528" s="4">
        <v>40</v>
      </c>
      <c r="M528" s="4">
        <f t="shared" si="8"/>
        <v>240</v>
      </c>
    </row>
    <row r="529" spans="1:13" ht="15.75" customHeight="1">
      <c r="A529" s="1" t="s">
        <v>1049</v>
      </c>
      <c r="B529" s="1" t="str">
        <f>"198374125174"</f>
        <v>198374125174</v>
      </c>
      <c r="C529" s="1" t="s">
        <v>1050</v>
      </c>
      <c r="D529" s="2" t="s">
        <v>1048</v>
      </c>
      <c r="E529" s="1" t="s">
        <v>860</v>
      </c>
      <c r="F529" s="1" t="s">
        <v>1016</v>
      </c>
      <c r="G529" s="1" t="s">
        <v>2411</v>
      </c>
      <c r="H529" s="1" t="s">
        <v>1023</v>
      </c>
      <c r="I529" s="1" t="s">
        <v>2220</v>
      </c>
      <c r="J529" s="1" t="s">
        <v>2827</v>
      </c>
      <c r="K529" s="3">
        <v>58</v>
      </c>
      <c r="L529" s="4">
        <v>40</v>
      </c>
      <c r="M529" s="4">
        <f t="shared" si="8"/>
        <v>2320</v>
      </c>
    </row>
    <row r="530" spans="1:13" ht="15.75" customHeight="1">
      <c r="A530" s="1" t="s">
        <v>1051</v>
      </c>
      <c r="B530" s="1" t="str">
        <f>"198374125167"</f>
        <v>198374125167</v>
      </c>
      <c r="C530" s="1" t="s">
        <v>1052</v>
      </c>
      <c r="D530" s="2" t="s">
        <v>1048</v>
      </c>
      <c r="E530" s="1" t="s">
        <v>860</v>
      </c>
      <c r="F530" s="1" t="s">
        <v>1016</v>
      </c>
      <c r="G530" s="1" t="s">
        <v>2219</v>
      </c>
      <c r="H530" s="1" t="s">
        <v>1023</v>
      </c>
      <c r="I530" s="1" t="s">
        <v>2220</v>
      </c>
      <c r="J530" s="1" t="s">
        <v>2827</v>
      </c>
      <c r="K530" s="3">
        <v>19</v>
      </c>
      <c r="L530" s="4">
        <v>40</v>
      </c>
      <c r="M530" s="4">
        <f t="shared" si="8"/>
        <v>760</v>
      </c>
    </row>
    <row r="531" spans="1:13" ht="15.75" customHeight="1">
      <c r="A531" s="1" t="s">
        <v>1053</v>
      </c>
      <c r="B531" s="1" t="str">
        <f>"198374120353"</f>
        <v>198374120353</v>
      </c>
      <c r="C531" s="1" t="s">
        <v>1054</v>
      </c>
      <c r="D531" s="2" t="s">
        <v>1055</v>
      </c>
      <c r="E531" s="1" t="s">
        <v>860</v>
      </c>
      <c r="F531" s="1" t="s">
        <v>995</v>
      </c>
      <c r="G531" s="1" t="s">
        <v>2211</v>
      </c>
      <c r="H531" s="1" t="s">
        <v>1056</v>
      </c>
      <c r="I531" s="1" t="s">
        <v>2220</v>
      </c>
      <c r="J531" s="1" t="s">
        <v>1640</v>
      </c>
      <c r="K531" s="3">
        <v>10</v>
      </c>
      <c r="L531" s="4">
        <v>40</v>
      </c>
      <c r="M531" s="4">
        <f t="shared" si="8"/>
        <v>400</v>
      </c>
    </row>
    <row r="532" spans="1:13" ht="15.75" customHeight="1">
      <c r="A532" s="1" t="s">
        <v>1057</v>
      </c>
      <c r="B532" s="1" t="str">
        <f>"198374120346"</f>
        <v>198374120346</v>
      </c>
      <c r="C532" s="1" t="s">
        <v>1058</v>
      </c>
      <c r="D532" s="2" t="s">
        <v>1055</v>
      </c>
      <c r="E532" s="1" t="s">
        <v>860</v>
      </c>
      <c r="F532" s="1" t="s">
        <v>995</v>
      </c>
      <c r="G532" s="1" t="s">
        <v>2411</v>
      </c>
      <c r="H532" s="1" t="s">
        <v>1056</v>
      </c>
      <c r="I532" s="1" t="s">
        <v>2220</v>
      </c>
      <c r="J532" s="1" t="s">
        <v>1640</v>
      </c>
      <c r="K532" s="3">
        <v>32</v>
      </c>
      <c r="L532" s="4">
        <v>40</v>
      </c>
      <c r="M532" s="4">
        <f t="shared" si="8"/>
        <v>1280</v>
      </c>
    </row>
    <row r="533" spans="1:13" ht="15.75" customHeight="1">
      <c r="A533" s="1" t="s">
        <v>1059</v>
      </c>
      <c r="B533" s="1" t="str">
        <f>"198374120339"</f>
        <v>198374120339</v>
      </c>
      <c r="C533" s="1" t="s">
        <v>1060</v>
      </c>
      <c r="D533" s="2" t="s">
        <v>1055</v>
      </c>
      <c r="E533" s="1" t="s">
        <v>860</v>
      </c>
      <c r="F533" s="1" t="s">
        <v>995</v>
      </c>
      <c r="G533" s="1" t="s">
        <v>2219</v>
      </c>
      <c r="H533" s="1" t="s">
        <v>1056</v>
      </c>
      <c r="I533" s="1" t="s">
        <v>2220</v>
      </c>
      <c r="J533" s="1" t="s">
        <v>1640</v>
      </c>
      <c r="K533" s="3">
        <v>29</v>
      </c>
      <c r="L533" s="4">
        <v>40</v>
      </c>
      <c r="M533" s="4">
        <f t="shared" si="8"/>
        <v>1160</v>
      </c>
    </row>
    <row r="534" spans="1:13" ht="15.75" customHeight="1">
      <c r="A534" s="1" t="s">
        <v>1061</v>
      </c>
      <c r="B534" s="1" t="str">
        <f>"198374120407"</f>
        <v>198374120407</v>
      </c>
      <c r="C534" s="1" t="s">
        <v>1062</v>
      </c>
      <c r="D534" s="2" t="s">
        <v>1063</v>
      </c>
      <c r="E534" s="1" t="s">
        <v>860</v>
      </c>
      <c r="F534" s="1" t="s">
        <v>2210</v>
      </c>
      <c r="G534" s="1" t="s">
        <v>2211</v>
      </c>
      <c r="H534" s="1" t="s">
        <v>1056</v>
      </c>
      <c r="I534" s="1" t="s">
        <v>2220</v>
      </c>
      <c r="J534" s="1" t="s">
        <v>1640</v>
      </c>
      <c r="K534" s="3">
        <v>49</v>
      </c>
      <c r="L534" s="4">
        <v>40</v>
      </c>
      <c r="M534" s="4">
        <f t="shared" si="8"/>
        <v>1960</v>
      </c>
    </row>
    <row r="535" spans="1:13" ht="15.75" customHeight="1">
      <c r="A535" s="1" t="s">
        <v>1064</v>
      </c>
      <c r="B535" s="1" t="str">
        <f>"198374120391"</f>
        <v>198374120391</v>
      </c>
      <c r="C535" s="1" t="s">
        <v>1065</v>
      </c>
      <c r="D535" s="2" t="s">
        <v>1063</v>
      </c>
      <c r="E535" s="1" t="s">
        <v>860</v>
      </c>
      <c r="F535" s="1" t="s">
        <v>2210</v>
      </c>
      <c r="G535" s="1" t="s">
        <v>2411</v>
      </c>
      <c r="H535" s="1" t="s">
        <v>1056</v>
      </c>
      <c r="I535" s="1" t="s">
        <v>2220</v>
      </c>
      <c r="J535" s="1" t="s">
        <v>1640</v>
      </c>
      <c r="K535" s="3">
        <v>165</v>
      </c>
      <c r="L535" s="4">
        <v>40</v>
      </c>
      <c r="M535" s="4">
        <f t="shared" si="8"/>
        <v>6600</v>
      </c>
    </row>
    <row r="536" spans="1:13" ht="15.75" customHeight="1">
      <c r="A536" s="1" t="s">
        <v>1066</v>
      </c>
      <c r="B536" s="1" t="str">
        <f>"198374120384"</f>
        <v>198374120384</v>
      </c>
      <c r="C536" s="1" t="s">
        <v>1067</v>
      </c>
      <c r="D536" s="2" t="s">
        <v>1063</v>
      </c>
      <c r="E536" s="1" t="s">
        <v>860</v>
      </c>
      <c r="F536" s="1" t="s">
        <v>2210</v>
      </c>
      <c r="G536" s="1" t="s">
        <v>2219</v>
      </c>
      <c r="H536" s="1" t="s">
        <v>1056</v>
      </c>
      <c r="I536" s="1" t="s">
        <v>2220</v>
      </c>
      <c r="J536" s="1" t="s">
        <v>1640</v>
      </c>
      <c r="K536" s="3">
        <v>73</v>
      </c>
      <c r="L536" s="4">
        <v>40</v>
      </c>
      <c r="M536" s="4">
        <f t="shared" si="8"/>
        <v>2920</v>
      </c>
    </row>
    <row r="537" spans="1:13" ht="15.75" customHeight="1">
      <c r="A537" s="1" t="s">
        <v>1068</v>
      </c>
      <c r="B537" s="1" t="str">
        <f>"198374120452"</f>
        <v>198374120452</v>
      </c>
      <c r="C537" s="1" t="s">
        <v>1069</v>
      </c>
      <c r="D537" s="2" t="s">
        <v>1070</v>
      </c>
      <c r="E537" s="1" t="s">
        <v>860</v>
      </c>
      <c r="F537" s="1" t="s">
        <v>877</v>
      </c>
      <c r="G537" s="1" t="s">
        <v>2211</v>
      </c>
      <c r="H537" s="1" t="s">
        <v>1056</v>
      </c>
      <c r="I537" s="1" t="s">
        <v>2220</v>
      </c>
      <c r="J537" s="1" t="s">
        <v>1640</v>
      </c>
      <c r="K537" s="3">
        <v>51</v>
      </c>
      <c r="L537" s="4">
        <v>40</v>
      </c>
      <c r="M537" s="4">
        <f t="shared" si="8"/>
        <v>2040</v>
      </c>
    </row>
    <row r="538" spans="1:13" ht="15.75" customHeight="1">
      <c r="A538" s="1" t="s">
        <v>1071</v>
      </c>
      <c r="B538" s="1" t="str">
        <f>"198374120445"</f>
        <v>198374120445</v>
      </c>
      <c r="C538" s="1" t="s">
        <v>1072</v>
      </c>
      <c r="D538" s="2" t="s">
        <v>1070</v>
      </c>
      <c r="E538" s="1" t="s">
        <v>860</v>
      </c>
      <c r="F538" s="1" t="s">
        <v>877</v>
      </c>
      <c r="G538" s="1" t="s">
        <v>2411</v>
      </c>
      <c r="H538" s="1" t="s">
        <v>1056</v>
      </c>
      <c r="I538" s="1" t="s">
        <v>2220</v>
      </c>
      <c r="J538" s="1" t="s">
        <v>1640</v>
      </c>
      <c r="K538" s="3">
        <v>101</v>
      </c>
      <c r="L538" s="4">
        <v>40</v>
      </c>
      <c r="M538" s="4">
        <f t="shared" si="8"/>
        <v>4040</v>
      </c>
    </row>
    <row r="539" spans="1:13" ht="15.75" customHeight="1">
      <c r="A539" s="1" t="s">
        <v>1073</v>
      </c>
      <c r="B539" s="1" t="str">
        <f>"198374120438"</f>
        <v>198374120438</v>
      </c>
      <c r="C539" s="1" t="s">
        <v>1074</v>
      </c>
      <c r="D539" s="2" t="s">
        <v>1070</v>
      </c>
      <c r="E539" s="1" t="s">
        <v>860</v>
      </c>
      <c r="F539" s="1" t="s">
        <v>877</v>
      </c>
      <c r="G539" s="1" t="s">
        <v>2219</v>
      </c>
      <c r="H539" s="1" t="s">
        <v>1056</v>
      </c>
      <c r="I539" s="1" t="s">
        <v>2220</v>
      </c>
      <c r="J539" s="1" t="s">
        <v>1640</v>
      </c>
      <c r="K539" s="3">
        <v>37</v>
      </c>
      <c r="L539" s="4">
        <v>40</v>
      </c>
      <c r="M539" s="4">
        <f t="shared" si="8"/>
        <v>1480</v>
      </c>
    </row>
    <row r="540" spans="1:13" ht="15.75" customHeight="1">
      <c r="A540" s="1" t="s">
        <v>1075</v>
      </c>
      <c r="B540" s="1" t="str">
        <f>"198374120469"</f>
        <v>198374120469</v>
      </c>
      <c r="C540" s="1" t="s">
        <v>1076</v>
      </c>
      <c r="D540" s="2" t="s">
        <v>1070</v>
      </c>
      <c r="E540" s="1" t="s">
        <v>860</v>
      </c>
      <c r="F540" s="1" t="s">
        <v>877</v>
      </c>
      <c r="G540" s="1" t="s">
        <v>2418</v>
      </c>
      <c r="H540" s="1" t="s">
        <v>1056</v>
      </c>
      <c r="I540" s="1" t="s">
        <v>2220</v>
      </c>
      <c r="J540" s="1" t="s">
        <v>1640</v>
      </c>
      <c r="K540" s="3">
        <v>2</v>
      </c>
      <c r="L540" s="4">
        <v>40</v>
      </c>
      <c r="M540" s="4">
        <f t="shared" si="8"/>
        <v>80</v>
      </c>
    </row>
    <row r="541" spans="1:13" ht="15.75" customHeight="1">
      <c r="A541" s="1" t="s">
        <v>1077</v>
      </c>
      <c r="B541" s="1" t="str">
        <f>"198374120506"</f>
        <v>198374120506</v>
      </c>
      <c r="C541" s="1" t="s">
        <v>1078</v>
      </c>
      <c r="D541" s="2" t="s">
        <v>1079</v>
      </c>
      <c r="E541" s="1" t="s">
        <v>860</v>
      </c>
      <c r="F541" s="1" t="s">
        <v>1080</v>
      </c>
      <c r="G541" s="1" t="s">
        <v>2211</v>
      </c>
      <c r="H541" s="1" t="s">
        <v>1056</v>
      </c>
      <c r="I541" s="1" t="s">
        <v>2220</v>
      </c>
      <c r="J541" s="1" t="s">
        <v>1640</v>
      </c>
      <c r="K541" s="3">
        <v>17</v>
      </c>
      <c r="L541" s="4">
        <v>40</v>
      </c>
      <c r="M541" s="4">
        <f t="shared" si="8"/>
        <v>680</v>
      </c>
    </row>
    <row r="542" spans="1:13" ht="15.75" customHeight="1">
      <c r="A542" s="1" t="s">
        <v>1081</v>
      </c>
      <c r="B542" s="1" t="str">
        <f>"198374120490"</f>
        <v>198374120490</v>
      </c>
      <c r="C542" s="1" t="s">
        <v>1082</v>
      </c>
      <c r="D542" s="2" t="s">
        <v>1079</v>
      </c>
      <c r="E542" s="1" t="s">
        <v>860</v>
      </c>
      <c r="F542" s="1" t="s">
        <v>1080</v>
      </c>
      <c r="G542" s="1" t="s">
        <v>2411</v>
      </c>
      <c r="H542" s="1" t="s">
        <v>1056</v>
      </c>
      <c r="I542" s="1" t="s">
        <v>2220</v>
      </c>
      <c r="J542" s="1" t="s">
        <v>1640</v>
      </c>
      <c r="K542" s="3">
        <v>31</v>
      </c>
      <c r="L542" s="4">
        <v>40</v>
      </c>
      <c r="M542" s="4">
        <f t="shared" si="8"/>
        <v>1240</v>
      </c>
    </row>
    <row r="543" spans="1:13" ht="15.75" customHeight="1">
      <c r="A543" s="1" t="s">
        <v>1083</v>
      </c>
      <c r="B543" s="1" t="str">
        <f>"198374120483"</f>
        <v>198374120483</v>
      </c>
      <c r="C543" s="1" t="s">
        <v>1084</v>
      </c>
      <c r="D543" s="2" t="s">
        <v>1079</v>
      </c>
      <c r="E543" s="1" t="s">
        <v>860</v>
      </c>
      <c r="F543" s="1" t="s">
        <v>1080</v>
      </c>
      <c r="G543" s="1" t="s">
        <v>2219</v>
      </c>
      <c r="H543" s="1" t="s">
        <v>1056</v>
      </c>
      <c r="I543" s="1" t="s">
        <v>2220</v>
      </c>
      <c r="J543" s="1" t="s">
        <v>1640</v>
      </c>
      <c r="K543" s="3">
        <v>36</v>
      </c>
      <c r="L543" s="4">
        <v>40</v>
      </c>
      <c r="M543" s="4">
        <f t="shared" si="8"/>
        <v>1440</v>
      </c>
    </row>
    <row r="544" spans="1:13" ht="15.75" customHeight="1">
      <c r="A544" s="1" t="s">
        <v>1085</v>
      </c>
      <c r="B544" s="1" t="str">
        <f>"198374120513"</f>
        <v>198374120513</v>
      </c>
      <c r="C544" s="1" t="s">
        <v>1086</v>
      </c>
      <c r="D544" s="2" t="s">
        <v>1079</v>
      </c>
      <c r="E544" s="1" t="s">
        <v>860</v>
      </c>
      <c r="F544" s="1" t="s">
        <v>1080</v>
      </c>
      <c r="G544" s="1" t="s">
        <v>2418</v>
      </c>
      <c r="H544" s="1" t="s">
        <v>1056</v>
      </c>
      <c r="I544" s="1" t="s">
        <v>2220</v>
      </c>
      <c r="J544" s="1" t="s">
        <v>1640</v>
      </c>
      <c r="K544" s="3">
        <v>5</v>
      </c>
      <c r="L544" s="4">
        <v>40</v>
      </c>
      <c r="M544" s="4">
        <f t="shared" si="8"/>
        <v>200</v>
      </c>
    </row>
    <row r="545" spans="1:13" ht="15.75" customHeight="1">
      <c r="A545" s="1" t="s">
        <v>1087</v>
      </c>
      <c r="B545" s="1" t="str">
        <f>"198374120551"</f>
        <v>198374120551</v>
      </c>
      <c r="C545" s="1" t="s">
        <v>1088</v>
      </c>
      <c r="D545" s="2" t="s">
        <v>1089</v>
      </c>
      <c r="E545" s="1" t="s">
        <v>860</v>
      </c>
      <c r="F545" s="1" t="s">
        <v>2806</v>
      </c>
      <c r="G545" s="1" t="s">
        <v>2211</v>
      </c>
      <c r="H545" s="1" t="s">
        <v>1056</v>
      </c>
      <c r="I545" s="1" t="s">
        <v>2220</v>
      </c>
      <c r="J545" s="1" t="s">
        <v>1640</v>
      </c>
      <c r="K545" s="3">
        <v>124</v>
      </c>
      <c r="L545" s="4">
        <v>40</v>
      </c>
      <c r="M545" s="4">
        <f t="shared" si="8"/>
        <v>4960</v>
      </c>
    </row>
    <row r="546" spans="1:13" ht="15.75" customHeight="1">
      <c r="A546" s="1" t="s">
        <v>1090</v>
      </c>
      <c r="B546" s="1" t="str">
        <f>"198374120544"</f>
        <v>198374120544</v>
      </c>
      <c r="C546" s="1" t="s">
        <v>1091</v>
      </c>
      <c r="D546" s="2" t="s">
        <v>1089</v>
      </c>
      <c r="E546" s="1" t="s">
        <v>860</v>
      </c>
      <c r="F546" s="1" t="s">
        <v>2806</v>
      </c>
      <c r="G546" s="1" t="s">
        <v>2411</v>
      </c>
      <c r="H546" s="1" t="s">
        <v>1056</v>
      </c>
      <c r="I546" s="1" t="s">
        <v>2220</v>
      </c>
      <c r="J546" s="1" t="s">
        <v>1640</v>
      </c>
      <c r="K546" s="3">
        <v>128</v>
      </c>
      <c r="L546" s="4">
        <v>40</v>
      </c>
      <c r="M546" s="4">
        <f t="shared" si="8"/>
        <v>5120</v>
      </c>
    </row>
    <row r="547" spans="1:13" ht="15.75" customHeight="1">
      <c r="A547" s="1" t="s">
        <v>1092</v>
      </c>
      <c r="B547" s="1" t="str">
        <f>"198374120537"</f>
        <v>198374120537</v>
      </c>
      <c r="C547" s="1" t="s">
        <v>1093</v>
      </c>
      <c r="D547" s="2" t="s">
        <v>1089</v>
      </c>
      <c r="E547" s="1" t="s">
        <v>860</v>
      </c>
      <c r="F547" s="1" t="s">
        <v>2806</v>
      </c>
      <c r="G547" s="1" t="s">
        <v>2219</v>
      </c>
      <c r="H547" s="1" t="s">
        <v>1056</v>
      </c>
      <c r="I547" s="1" t="s">
        <v>2220</v>
      </c>
      <c r="J547" s="1" t="s">
        <v>1640</v>
      </c>
      <c r="K547" s="3">
        <v>73</v>
      </c>
      <c r="L547" s="4">
        <v>40</v>
      </c>
      <c r="M547" s="4">
        <f t="shared" si="8"/>
        <v>2920</v>
      </c>
    </row>
    <row r="548" spans="1:13" ht="15.75" customHeight="1">
      <c r="A548" s="1" t="s">
        <v>1094</v>
      </c>
      <c r="B548" s="1" t="str">
        <f>"198374120568"</f>
        <v>198374120568</v>
      </c>
      <c r="C548" s="1" t="s">
        <v>1095</v>
      </c>
      <c r="D548" s="2" t="s">
        <v>1089</v>
      </c>
      <c r="E548" s="1" t="s">
        <v>860</v>
      </c>
      <c r="F548" s="1" t="s">
        <v>2806</v>
      </c>
      <c r="G548" s="1" t="s">
        <v>2418</v>
      </c>
      <c r="H548" s="1" t="s">
        <v>1056</v>
      </c>
      <c r="I548" s="1" t="s">
        <v>2220</v>
      </c>
      <c r="J548" s="1" t="s">
        <v>1640</v>
      </c>
      <c r="K548" s="3">
        <v>43</v>
      </c>
      <c r="L548" s="4">
        <v>40</v>
      </c>
      <c r="M548" s="4">
        <f t="shared" si="8"/>
        <v>1720</v>
      </c>
    </row>
    <row r="549" spans="1:13" ht="15.75" customHeight="1">
      <c r="A549" s="1" t="s">
        <v>1096</v>
      </c>
      <c r="B549" s="1" t="str">
        <f>"198374137672"</f>
        <v>198374137672</v>
      </c>
      <c r="C549" s="1" t="s">
        <v>1097</v>
      </c>
      <c r="D549" s="2" t="s">
        <v>1098</v>
      </c>
      <c r="E549" s="1" t="s">
        <v>860</v>
      </c>
      <c r="F549" s="1" t="s">
        <v>2210</v>
      </c>
      <c r="G549" s="1" t="s">
        <v>2411</v>
      </c>
      <c r="H549" s="1" t="s">
        <v>1099</v>
      </c>
      <c r="I549" s="1" t="s">
        <v>2220</v>
      </c>
      <c r="J549" s="1" t="s">
        <v>2827</v>
      </c>
      <c r="K549" s="3">
        <v>457</v>
      </c>
      <c r="L549" s="4">
        <v>46</v>
      </c>
      <c r="M549" s="4">
        <f t="shared" si="8"/>
        <v>21022</v>
      </c>
    </row>
    <row r="550" spans="1:13" ht="15.75" customHeight="1">
      <c r="A550" s="1" t="s">
        <v>1100</v>
      </c>
      <c r="B550" s="1" t="str">
        <f>"198374137665"</f>
        <v>198374137665</v>
      </c>
      <c r="C550" s="1" t="s">
        <v>1101</v>
      </c>
      <c r="D550" s="2" t="s">
        <v>1098</v>
      </c>
      <c r="E550" s="1" t="s">
        <v>860</v>
      </c>
      <c r="F550" s="1" t="s">
        <v>2210</v>
      </c>
      <c r="G550" s="1" t="s">
        <v>2219</v>
      </c>
      <c r="H550" s="1" t="s">
        <v>1099</v>
      </c>
      <c r="I550" s="1" t="s">
        <v>2220</v>
      </c>
      <c r="J550" s="1" t="s">
        <v>2827</v>
      </c>
      <c r="K550" s="3">
        <v>290</v>
      </c>
      <c r="L550" s="4">
        <v>46</v>
      </c>
      <c r="M550" s="4">
        <f t="shared" si="8"/>
        <v>13340</v>
      </c>
    </row>
    <row r="551" spans="1:13" ht="15.75" customHeight="1">
      <c r="A551" s="1" t="s">
        <v>1102</v>
      </c>
      <c r="B551" s="1" t="str">
        <f>"198374137719"</f>
        <v>198374137719</v>
      </c>
      <c r="C551" s="1" t="s">
        <v>1103</v>
      </c>
      <c r="D551" s="2" t="s">
        <v>1104</v>
      </c>
      <c r="E551" s="1" t="s">
        <v>860</v>
      </c>
      <c r="F551" s="1" t="s">
        <v>2806</v>
      </c>
      <c r="G551" s="1" t="s">
        <v>2411</v>
      </c>
      <c r="H551" s="1" t="s">
        <v>1099</v>
      </c>
      <c r="I551" s="1" t="s">
        <v>2220</v>
      </c>
      <c r="J551" s="1" t="s">
        <v>2827</v>
      </c>
      <c r="K551" s="3">
        <v>414</v>
      </c>
      <c r="L551" s="4">
        <v>46</v>
      </c>
      <c r="M551" s="4">
        <f t="shared" si="8"/>
        <v>19044</v>
      </c>
    </row>
    <row r="552" spans="1:13" ht="15.75" customHeight="1">
      <c r="A552" s="1" t="s">
        <v>1105</v>
      </c>
      <c r="B552" s="1" t="str">
        <f>"198374137702"</f>
        <v>198374137702</v>
      </c>
      <c r="C552" s="1" t="s">
        <v>1106</v>
      </c>
      <c r="D552" s="2" t="s">
        <v>1104</v>
      </c>
      <c r="E552" s="1" t="s">
        <v>860</v>
      </c>
      <c r="F552" s="1" t="s">
        <v>2806</v>
      </c>
      <c r="G552" s="1" t="s">
        <v>2219</v>
      </c>
      <c r="H552" s="1" t="s">
        <v>1099</v>
      </c>
      <c r="I552" s="1" t="s">
        <v>2220</v>
      </c>
      <c r="J552" s="1" t="s">
        <v>2827</v>
      </c>
      <c r="K552" s="3">
        <v>206</v>
      </c>
      <c r="L552" s="4">
        <v>46</v>
      </c>
      <c r="M552" s="4">
        <f t="shared" si="8"/>
        <v>9476</v>
      </c>
    </row>
    <row r="553" spans="1:13" ht="15.75" customHeight="1">
      <c r="A553" s="1" t="s">
        <v>1107</v>
      </c>
      <c r="B553" s="1" t="str">
        <f>"198374137757"</f>
        <v>198374137757</v>
      </c>
      <c r="C553" s="1" t="s">
        <v>1108</v>
      </c>
      <c r="D553" s="2" t="s">
        <v>1109</v>
      </c>
      <c r="E553" s="1" t="s">
        <v>860</v>
      </c>
      <c r="F553" s="1" t="s">
        <v>1110</v>
      </c>
      <c r="G553" s="1" t="s">
        <v>2411</v>
      </c>
      <c r="H553" s="1" t="s">
        <v>1099</v>
      </c>
      <c r="I553" s="1" t="s">
        <v>2220</v>
      </c>
      <c r="J553" s="1" t="s">
        <v>2827</v>
      </c>
      <c r="K553" s="3">
        <v>225</v>
      </c>
      <c r="L553" s="4">
        <v>46</v>
      </c>
      <c r="M553" s="4">
        <f t="shared" si="8"/>
        <v>10350</v>
      </c>
    </row>
    <row r="554" spans="1:13" ht="15.75" customHeight="1">
      <c r="A554" s="1" t="s">
        <v>1111</v>
      </c>
      <c r="B554" s="1" t="str">
        <f>"198374137740"</f>
        <v>198374137740</v>
      </c>
      <c r="C554" s="1" t="s">
        <v>1112</v>
      </c>
      <c r="D554" s="2" t="s">
        <v>1109</v>
      </c>
      <c r="E554" s="1" t="s">
        <v>860</v>
      </c>
      <c r="F554" s="1" t="s">
        <v>1110</v>
      </c>
      <c r="G554" s="1" t="s">
        <v>2219</v>
      </c>
      <c r="H554" s="1" t="s">
        <v>1099</v>
      </c>
      <c r="I554" s="1" t="s">
        <v>2220</v>
      </c>
      <c r="J554" s="1" t="s">
        <v>2827</v>
      </c>
      <c r="K554" s="3">
        <v>128</v>
      </c>
      <c r="L554" s="4">
        <v>46</v>
      </c>
      <c r="M554" s="4">
        <f t="shared" si="8"/>
        <v>5888</v>
      </c>
    </row>
    <row r="555" spans="1:13" ht="15.75" customHeight="1">
      <c r="A555" s="1" t="s">
        <v>1113</v>
      </c>
      <c r="B555" s="1" t="str">
        <f>"198374119753"</f>
        <v>198374119753</v>
      </c>
      <c r="C555" s="1" t="s">
        <v>1114</v>
      </c>
      <c r="D555" s="2" t="s">
        <v>1115</v>
      </c>
      <c r="E555" s="1" t="s">
        <v>860</v>
      </c>
      <c r="F555" s="1" t="s">
        <v>2210</v>
      </c>
      <c r="G555" s="1" t="s">
        <v>2211</v>
      </c>
      <c r="H555" s="1" t="s">
        <v>1116</v>
      </c>
      <c r="I555" s="1" t="s">
        <v>2257</v>
      </c>
      <c r="J555" s="1" t="s">
        <v>2827</v>
      </c>
      <c r="K555" s="3">
        <v>1</v>
      </c>
      <c r="L555" s="4">
        <v>40</v>
      </c>
      <c r="M555" s="4">
        <f t="shared" si="8"/>
        <v>40</v>
      </c>
    </row>
    <row r="556" spans="1:13" ht="15.75" customHeight="1">
      <c r="A556" s="1" t="s">
        <v>1117</v>
      </c>
      <c r="B556" s="1" t="str">
        <f>"198374119746"</f>
        <v>198374119746</v>
      </c>
      <c r="C556" s="1" t="s">
        <v>1118</v>
      </c>
      <c r="D556" s="2" t="s">
        <v>1115</v>
      </c>
      <c r="E556" s="1" t="s">
        <v>860</v>
      </c>
      <c r="F556" s="1" t="s">
        <v>2210</v>
      </c>
      <c r="G556" s="1" t="s">
        <v>2411</v>
      </c>
      <c r="H556" s="1" t="s">
        <v>1116</v>
      </c>
      <c r="I556" s="1" t="s">
        <v>2257</v>
      </c>
      <c r="J556" s="1" t="s">
        <v>2827</v>
      </c>
      <c r="K556" s="3">
        <v>1</v>
      </c>
      <c r="L556" s="4">
        <v>40</v>
      </c>
      <c r="M556" s="4">
        <f t="shared" si="8"/>
        <v>40</v>
      </c>
    </row>
    <row r="557" spans="1:13" ht="15.75" customHeight="1">
      <c r="A557" s="1" t="s">
        <v>1119</v>
      </c>
      <c r="B557" s="1" t="str">
        <f>"198374119739"</f>
        <v>198374119739</v>
      </c>
      <c r="C557" s="1" t="s">
        <v>1120</v>
      </c>
      <c r="D557" s="2" t="s">
        <v>1115</v>
      </c>
      <c r="E557" s="1" t="s">
        <v>860</v>
      </c>
      <c r="F557" s="1" t="s">
        <v>2210</v>
      </c>
      <c r="G557" s="1" t="s">
        <v>2219</v>
      </c>
      <c r="H557" s="1" t="s">
        <v>1116</v>
      </c>
      <c r="I557" s="1" t="s">
        <v>2257</v>
      </c>
      <c r="J557" s="1" t="s">
        <v>2827</v>
      </c>
      <c r="K557" s="3">
        <v>3</v>
      </c>
      <c r="L557" s="4">
        <v>40</v>
      </c>
      <c r="M557" s="4">
        <f t="shared" si="8"/>
        <v>120</v>
      </c>
    </row>
    <row r="558" spans="1:13" ht="15.75" customHeight="1">
      <c r="A558" s="1" t="s">
        <v>1121</v>
      </c>
      <c r="B558" s="1" t="str">
        <f>"198374119760"</f>
        <v>198374119760</v>
      </c>
      <c r="C558" s="1" t="s">
        <v>1122</v>
      </c>
      <c r="D558" s="2"/>
      <c r="E558" s="1" t="s">
        <v>860</v>
      </c>
      <c r="F558" s="1" t="s">
        <v>2210</v>
      </c>
      <c r="G558" s="1" t="s">
        <v>2418</v>
      </c>
      <c r="H558" s="1" t="s">
        <v>1116</v>
      </c>
      <c r="I558" s="1" t="s">
        <v>2257</v>
      </c>
      <c r="J558" s="1" t="s">
        <v>2827</v>
      </c>
      <c r="K558" s="3">
        <v>1</v>
      </c>
      <c r="L558" s="4">
        <v>40</v>
      </c>
      <c r="M558" s="4">
        <f t="shared" si="8"/>
        <v>40</v>
      </c>
    </row>
    <row r="559" spans="1:13" ht="15.75" customHeight="1">
      <c r="A559" s="1" t="s">
        <v>1123</v>
      </c>
      <c r="B559" s="1" t="str">
        <f>"198374124993"</f>
        <v>198374124993</v>
      </c>
      <c r="C559" s="1" t="s">
        <v>1124</v>
      </c>
      <c r="D559" s="2"/>
      <c r="E559" s="1" t="s">
        <v>860</v>
      </c>
      <c r="F559" s="1" t="s">
        <v>1016</v>
      </c>
      <c r="G559" s="1" t="s">
        <v>2418</v>
      </c>
      <c r="H559" s="1" t="s">
        <v>1116</v>
      </c>
      <c r="I559" s="1" t="s">
        <v>2257</v>
      </c>
      <c r="J559" s="1" t="s">
        <v>2827</v>
      </c>
      <c r="K559" s="3">
        <v>1</v>
      </c>
      <c r="L559" s="4">
        <v>40</v>
      </c>
      <c r="M559" s="4">
        <f t="shared" si="8"/>
        <v>40</v>
      </c>
    </row>
    <row r="560" spans="1:13" ht="15.75" customHeight="1">
      <c r="A560" s="1" t="s">
        <v>1125</v>
      </c>
      <c r="B560" s="1" t="str">
        <f>"731990240632"</f>
        <v>731990240632</v>
      </c>
      <c r="C560" s="1" t="s">
        <v>1126</v>
      </c>
      <c r="D560" s="2" t="s">
        <v>1127</v>
      </c>
      <c r="E560" s="1" t="s">
        <v>860</v>
      </c>
      <c r="F560" s="1" t="s">
        <v>2769</v>
      </c>
      <c r="G560" s="1" t="s">
        <v>2411</v>
      </c>
      <c r="H560" s="1" t="s">
        <v>1128</v>
      </c>
      <c r="I560" s="1" t="s">
        <v>2257</v>
      </c>
      <c r="J560" s="1" t="s">
        <v>2815</v>
      </c>
      <c r="K560" s="3">
        <v>4</v>
      </c>
      <c r="L560" s="4">
        <v>129</v>
      </c>
      <c r="M560" s="4">
        <f t="shared" si="8"/>
        <v>516</v>
      </c>
    </row>
    <row r="561" spans="1:13" ht="15.75" customHeight="1">
      <c r="A561" s="1" t="s">
        <v>1129</v>
      </c>
      <c r="B561" s="1" t="str">
        <f>"731990240625"</f>
        <v>731990240625</v>
      </c>
      <c r="C561" s="1" t="s">
        <v>1130</v>
      </c>
      <c r="D561" s="2" t="s">
        <v>1127</v>
      </c>
      <c r="E561" s="1" t="s">
        <v>860</v>
      </c>
      <c r="F561" s="1" t="s">
        <v>2769</v>
      </c>
      <c r="G561" s="1" t="s">
        <v>2418</v>
      </c>
      <c r="H561" s="1" t="s">
        <v>1128</v>
      </c>
      <c r="I561" s="1" t="s">
        <v>2257</v>
      </c>
      <c r="J561" s="1" t="s">
        <v>2815</v>
      </c>
      <c r="K561" s="3">
        <v>2</v>
      </c>
      <c r="L561" s="4">
        <v>129</v>
      </c>
      <c r="M561" s="4">
        <f t="shared" si="8"/>
        <v>258</v>
      </c>
    </row>
    <row r="562" spans="1:13" ht="15.75" customHeight="1">
      <c r="A562" s="1" t="s">
        <v>1131</v>
      </c>
      <c r="B562" s="1" t="str">
        <f>"198374119647"</f>
        <v>198374119647</v>
      </c>
      <c r="C562" s="1" t="s">
        <v>1132</v>
      </c>
      <c r="D562" s="2" t="s">
        <v>1133</v>
      </c>
      <c r="E562" s="1" t="s">
        <v>860</v>
      </c>
      <c r="F562" s="1" t="s">
        <v>2210</v>
      </c>
      <c r="G562" s="1" t="s">
        <v>2411</v>
      </c>
      <c r="H562" s="1" t="s">
        <v>1134</v>
      </c>
      <c r="I562" s="1" t="s">
        <v>2257</v>
      </c>
      <c r="J562" s="1" t="s">
        <v>2911</v>
      </c>
      <c r="K562" s="3">
        <v>75</v>
      </c>
      <c r="L562" s="4">
        <v>40</v>
      </c>
      <c r="M562" s="4">
        <f t="shared" si="8"/>
        <v>3000</v>
      </c>
    </row>
    <row r="563" spans="1:13" ht="15.75" customHeight="1">
      <c r="A563" s="1" t="s">
        <v>1135</v>
      </c>
      <c r="B563" s="1" t="str">
        <f>"198374119630"</f>
        <v>198374119630</v>
      </c>
      <c r="C563" s="1" t="s">
        <v>1136</v>
      </c>
      <c r="D563" s="2" t="s">
        <v>1133</v>
      </c>
      <c r="E563" s="1" t="s">
        <v>860</v>
      </c>
      <c r="F563" s="1" t="s">
        <v>2210</v>
      </c>
      <c r="G563" s="1" t="s">
        <v>2219</v>
      </c>
      <c r="H563" s="1" t="s">
        <v>1134</v>
      </c>
      <c r="I563" s="1" t="s">
        <v>2257</v>
      </c>
      <c r="J563" s="1" t="s">
        <v>2911</v>
      </c>
      <c r="K563" s="3">
        <v>15</v>
      </c>
      <c r="L563" s="4">
        <v>40</v>
      </c>
      <c r="M563" s="4">
        <f t="shared" si="8"/>
        <v>600</v>
      </c>
    </row>
    <row r="564" spans="1:13" ht="15.75" customHeight="1">
      <c r="A564" s="1" t="s">
        <v>1137</v>
      </c>
      <c r="B564" s="1" t="str">
        <f>"198374119982"</f>
        <v>198374119982</v>
      </c>
      <c r="C564" s="1" t="s">
        <v>1138</v>
      </c>
      <c r="D564" s="2" t="s">
        <v>1139</v>
      </c>
      <c r="E564" s="1" t="s">
        <v>860</v>
      </c>
      <c r="F564" s="1" t="s">
        <v>877</v>
      </c>
      <c r="G564" s="1" t="s">
        <v>2219</v>
      </c>
      <c r="H564" s="1" t="s">
        <v>1140</v>
      </c>
      <c r="I564" s="1" t="s">
        <v>2257</v>
      </c>
      <c r="J564" s="1" t="s">
        <v>1640</v>
      </c>
      <c r="K564" s="3">
        <v>17</v>
      </c>
      <c r="L564" s="4">
        <v>40</v>
      </c>
      <c r="M564" s="4">
        <f t="shared" si="8"/>
        <v>680</v>
      </c>
    </row>
    <row r="565" spans="1:13" ht="15.75" customHeight="1">
      <c r="A565" s="1" t="s">
        <v>1141</v>
      </c>
      <c r="B565" s="1" t="str">
        <f>"197256354879"</f>
        <v>197256354879</v>
      </c>
      <c r="C565" s="1" t="s">
        <v>1142</v>
      </c>
      <c r="D565" s="2" t="s">
        <v>1143</v>
      </c>
      <c r="E565" s="1" t="s">
        <v>860</v>
      </c>
      <c r="F565" s="1" t="s">
        <v>1144</v>
      </c>
      <c r="G565" s="1" t="s">
        <v>2211</v>
      </c>
      <c r="H565" s="1" t="s">
        <v>1145</v>
      </c>
      <c r="I565" s="1" t="s">
        <v>2220</v>
      </c>
      <c r="J565" s="1" t="s">
        <v>1146</v>
      </c>
      <c r="K565" s="3">
        <v>27</v>
      </c>
      <c r="L565" s="4">
        <v>50</v>
      </c>
      <c r="M565" s="4">
        <f t="shared" si="8"/>
        <v>1350</v>
      </c>
    </row>
    <row r="566" spans="1:13" ht="15.75" customHeight="1">
      <c r="A566" s="1" t="s">
        <v>1147</v>
      </c>
      <c r="B566" s="1" t="str">
        <f>"197256354862"</f>
        <v>197256354862</v>
      </c>
      <c r="C566" s="1" t="s">
        <v>1148</v>
      </c>
      <c r="D566" s="2" t="s">
        <v>1143</v>
      </c>
      <c r="E566" s="1" t="s">
        <v>860</v>
      </c>
      <c r="F566" s="1" t="s">
        <v>1144</v>
      </c>
      <c r="G566" s="1" t="s">
        <v>2411</v>
      </c>
      <c r="H566" s="1" t="s">
        <v>1145</v>
      </c>
      <c r="I566" s="1" t="s">
        <v>2220</v>
      </c>
      <c r="J566" s="1" t="s">
        <v>1146</v>
      </c>
      <c r="K566" s="3">
        <v>7</v>
      </c>
      <c r="L566" s="4">
        <v>50</v>
      </c>
      <c r="M566" s="4">
        <f t="shared" si="8"/>
        <v>350</v>
      </c>
    </row>
    <row r="567" spans="1:13" ht="15.75" customHeight="1">
      <c r="A567" s="1" t="s">
        <v>1149</v>
      </c>
      <c r="B567" s="1" t="str">
        <f>"197256354886"</f>
        <v>197256354886</v>
      </c>
      <c r="C567" s="1" t="s">
        <v>1150</v>
      </c>
      <c r="D567" s="2" t="s">
        <v>1143</v>
      </c>
      <c r="E567" s="1" t="s">
        <v>860</v>
      </c>
      <c r="F567" s="1" t="s">
        <v>1144</v>
      </c>
      <c r="G567" s="1" t="s">
        <v>2418</v>
      </c>
      <c r="H567" s="1" t="s">
        <v>1145</v>
      </c>
      <c r="I567" s="1" t="s">
        <v>2220</v>
      </c>
      <c r="J567" s="1" t="s">
        <v>1146</v>
      </c>
      <c r="K567" s="3">
        <v>2</v>
      </c>
      <c r="L567" s="4">
        <v>50</v>
      </c>
      <c r="M567" s="4">
        <f t="shared" si="8"/>
        <v>100</v>
      </c>
    </row>
    <row r="568" spans="1:13" ht="15.75" customHeight="1">
      <c r="A568" s="1" t="s">
        <v>1151</v>
      </c>
      <c r="B568" s="1" t="str">
        <f>"197256354824"</f>
        <v>197256354824</v>
      </c>
      <c r="C568" s="1" t="s">
        <v>1152</v>
      </c>
      <c r="D568" s="2" t="s">
        <v>1153</v>
      </c>
      <c r="E568" s="1" t="s">
        <v>860</v>
      </c>
      <c r="F568" s="1" t="s">
        <v>1154</v>
      </c>
      <c r="G568" s="1" t="s">
        <v>2211</v>
      </c>
      <c r="H568" s="1" t="s">
        <v>1145</v>
      </c>
      <c r="I568" s="1" t="s">
        <v>2220</v>
      </c>
      <c r="J568" s="1" t="s">
        <v>1146</v>
      </c>
      <c r="K568" s="3">
        <v>217</v>
      </c>
      <c r="L568" s="4">
        <v>50</v>
      </c>
      <c r="M568" s="4">
        <f t="shared" si="8"/>
        <v>10850</v>
      </c>
    </row>
    <row r="569" spans="1:13" ht="15.75" customHeight="1">
      <c r="A569" s="1" t="s">
        <v>1155</v>
      </c>
      <c r="B569" s="1" t="str">
        <f>"197256354817"</f>
        <v>197256354817</v>
      </c>
      <c r="C569" s="1" t="s">
        <v>1156</v>
      </c>
      <c r="D569" s="2" t="s">
        <v>1153</v>
      </c>
      <c r="E569" s="1" t="s">
        <v>860</v>
      </c>
      <c r="F569" s="1" t="s">
        <v>1154</v>
      </c>
      <c r="G569" s="1" t="s">
        <v>2411</v>
      </c>
      <c r="H569" s="1" t="s">
        <v>1145</v>
      </c>
      <c r="I569" s="1" t="s">
        <v>2220</v>
      </c>
      <c r="J569" s="1" t="s">
        <v>1146</v>
      </c>
      <c r="K569" s="3">
        <v>82</v>
      </c>
      <c r="L569" s="4">
        <v>50</v>
      </c>
      <c r="M569" s="4">
        <f t="shared" si="8"/>
        <v>4100</v>
      </c>
    </row>
    <row r="570" spans="1:13" ht="15.75" customHeight="1">
      <c r="A570" s="1" t="s">
        <v>1157</v>
      </c>
      <c r="B570" s="1" t="str">
        <f>"197256354800"</f>
        <v>197256354800</v>
      </c>
      <c r="C570" s="1" t="s">
        <v>1158</v>
      </c>
      <c r="D570" s="2" t="s">
        <v>1153</v>
      </c>
      <c r="E570" s="1" t="s">
        <v>860</v>
      </c>
      <c r="F570" s="1" t="s">
        <v>1154</v>
      </c>
      <c r="G570" s="1" t="s">
        <v>2219</v>
      </c>
      <c r="H570" s="1" t="s">
        <v>1145</v>
      </c>
      <c r="I570" s="1" t="s">
        <v>2220</v>
      </c>
      <c r="J570" s="1" t="s">
        <v>1146</v>
      </c>
      <c r="K570" s="3">
        <v>36</v>
      </c>
      <c r="L570" s="4">
        <v>50</v>
      </c>
      <c r="M570" s="4">
        <f t="shared" si="8"/>
        <v>1800</v>
      </c>
    </row>
    <row r="571" spans="1:13" ht="15.75" customHeight="1">
      <c r="A571" s="1" t="s">
        <v>1159</v>
      </c>
      <c r="B571" s="1" t="str">
        <f>"197256354831"</f>
        <v>197256354831</v>
      </c>
      <c r="C571" s="1" t="s">
        <v>1160</v>
      </c>
      <c r="D571" s="2" t="s">
        <v>1153</v>
      </c>
      <c r="E571" s="1" t="s">
        <v>860</v>
      </c>
      <c r="F571" s="1" t="s">
        <v>1154</v>
      </c>
      <c r="G571" s="1" t="s">
        <v>2418</v>
      </c>
      <c r="H571" s="1" t="s">
        <v>1145</v>
      </c>
      <c r="I571" s="1" t="s">
        <v>2220</v>
      </c>
      <c r="J571" s="1" t="s">
        <v>1146</v>
      </c>
      <c r="K571" s="3">
        <v>46</v>
      </c>
      <c r="L571" s="4">
        <v>50</v>
      </c>
      <c r="M571" s="4">
        <f t="shared" si="8"/>
        <v>2300</v>
      </c>
    </row>
    <row r="572" spans="1:13" ht="15.75" customHeight="1">
      <c r="A572" s="1" t="s">
        <v>1161</v>
      </c>
      <c r="B572" s="1" t="str">
        <f>"197256353520"</f>
        <v>197256353520</v>
      </c>
      <c r="C572" s="1" t="s">
        <v>1162</v>
      </c>
      <c r="D572" s="2" t="s">
        <v>1163</v>
      </c>
      <c r="E572" s="1" t="s">
        <v>860</v>
      </c>
      <c r="F572" s="1" t="s">
        <v>1164</v>
      </c>
      <c r="G572" s="1" t="s">
        <v>2211</v>
      </c>
      <c r="H572" s="1" t="s">
        <v>1165</v>
      </c>
      <c r="I572" s="1" t="s">
        <v>2220</v>
      </c>
      <c r="J572" s="1" t="s">
        <v>1146</v>
      </c>
      <c r="K572" s="3">
        <v>229</v>
      </c>
      <c r="L572" s="4">
        <v>40</v>
      </c>
      <c r="M572" s="4">
        <f t="shared" si="8"/>
        <v>9160</v>
      </c>
    </row>
    <row r="573" spans="1:13" ht="15.75" customHeight="1">
      <c r="A573" s="1" t="s">
        <v>1166</v>
      </c>
      <c r="B573" s="1" t="str">
        <f>"197256353421"</f>
        <v>197256353421</v>
      </c>
      <c r="C573" s="1" t="s">
        <v>1167</v>
      </c>
      <c r="D573" s="2" t="s">
        <v>1168</v>
      </c>
      <c r="E573" s="1" t="s">
        <v>860</v>
      </c>
      <c r="F573" s="1" t="s">
        <v>1169</v>
      </c>
      <c r="G573" s="1" t="s">
        <v>2211</v>
      </c>
      <c r="H573" s="1" t="s">
        <v>1170</v>
      </c>
      <c r="I573" s="1" t="s">
        <v>2220</v>
      </c>
      <c r="J573" s="1" t="s">
        <v>1146</v>
      </c>
      <c r="K573" s="3">
        <v>311</v>
      </c>
      <c r="L573" s="4">
        <v>40</v>
      </c>
      <c r="M573" s="4">
        <f t="shared" si="8"/>
        <v>12440</v>
      </c>
    </row>
    <row r="574" spans="1:13" ht="15.75" customHeight="1">
      <c r="A574" s="1" t="s">
        <v>1171</v>
      </c>
      <c r="B574" s="1" t="str">
        <f>"197256353414"</f>
        <v>197256353414</v>
      </c>
      <c r="C574" s="1" t="s">
        <v>1172</v>
      </c>
      <c r="D574" s="2" t="s">
        <v>1168</v>
      </c>
      <c r="E574" s="1" t="s">
        <v>860</v>
      </c>
      <c r="F574" s="1" t="s">
        <v>1169</v>
      </c>
      <c r="G574" s="1" t="s">
        <v>2411</v>
      </c>
      <c r="H574" s="1" t="s">
        <v>1170</v>
      </c>
      <c r="I574" s="1" t="s">
        <v>2220</v>
      </c>
      <c r="J574" s="1" t="s">
        <v>1146</v>
      </c>
      <c r="K574" s="3">
        <v>32</v>
      </c>
      <c r="L574" s="4">
        <v>40</v>
      </c>
      <c r="M574" s="4">
        <f t="shared" si="8"/>
        <v>1280</v>
      </c>
    </row>
    <row r="575" spans="1:13" ht="18.75" customHeight="1">
      <c r="A575" s="1" t="s">
        <v>1173</v>
      </c>
      <c r="B575" s="1" t="str">
        <f>"197256353407"</f>
        <v>197256353407</v>
      </c>
      <c r="C575" s="1" t="s">
        <v>1174</v>
      </c>
      <c r="D575" s="2" t="s">
        <v>1168</v>
      </c>
      <c r="E575" s="1" t="s">
        <v>860</v>
      </c>
      <c r="F575" s="1" t="s">
        <v>1169</v>
      </c>
      <c r="G575" s="1" t="s">
        <v>2219</v>
      </c>
      <c r="H575" s="1" t="s">
        <v>1170</v>
      </c>
      <c r="I575" s="1" t="s">
        <v>2220</v>
      </c>
      <c r="J575" s="1" t="s">
        <v>1146</v>
      </c>
      <c r="K575" s="3">
        <v>19</v>
      </c>
      <c r="L575" s="4">
        <v>40</v>
      </c>
      <c r="M575" s="4">
        <f t="shared" si="8"/>
        <v>760</v>
      </c>
    </row>
    <row r="576" spans="1:13" ht="15.75" customHeight="1">
      <c r="A576" s="1" t="s">
        <v>1175</v>
      </c>
      <c r="B576" s="1" t="str">
        <f>"197256353438"</f>
        <v>197256353438</v>
      </c>
      <c r="C576" s="1" t="s">
        <v>1176</v>
      </c>
      <c r="D576" s="2" t="s">
        <v>1168</v>
      </c>
      <c r="E576" s="1" t="s">
        <v>860</v>
      </c>
      <c r="F576" s="1" t="s">
        <v>1169</v>
      </c>
      <c r="G576" s="1" t="s">
        <v>2418</v>
      </c>
      <c r="H576" s="1" t="s">
        <v>1170</v>
      </c>
      <c r="I576" s="1" t="s">
        <v>2220</v>
      </c>
      <c r="J576" s="1" t="s">
        <v>1146</v>
      </c>
      <c r="K576" s="3">
        <v>39</v>
      </c>
      <c r="L576" s="4">
        <v>40</v>
      </c>
      <c r="M576" s="4">
        <f t="shared" si="8"/>
        <v>1560</v>
      </c>
    </row>
    <row r="577" spans="1:13" ht="15.75" customHeight="1">
      <c r="A577" s="1" t="s">
        <v>1177</v>
      </c>
      <c r="B577" s="1" t="str">
        <f>"196615620099"</f>
        <v>196615620099</v>
      </c>
      <c r="C577" s="1" t="s">
        <v>1178</v>
      </c>
      <c r="D577" s="2" t="s">
        <v>1179</v>
      </c>
      <c r="E577" s="1" t="s">
        <v>860</v>
      </c>
      <c r="F577" s="1" t="s">
        <v>924</v>
      </c>
      <c r="G577" s="1" t="s">
        <v>2219</v>
      </c>
      <c r="H577" s="1" t="s">
        <v>1180</v>
      </c>
      <c r="I577" s="1" t="s">
        <v>2220</v>
      </c>
      <c r="J577" s="1" t="s">
        <v>1753</v>
      </c>
      <c r="K577" s="3">
        <v>116</v>
      </c>
      <c r="L577" s="4">
        <v>55</v>
      </c>
      <c r="M577" s="4">
        <f t="shared" si="8"/>
        <v>6380</v>
      </c>
    </row>
    <row r="578" spans="1:13" ht="15.75" customHeight="1">
      <c r="A578" s="1" t="s">
        <v>1181</v>
      </c>
      <c r="B578" s="1" t="str">
        <f>"198374119890"</f>
        <v>198374119890</v>
      </c>
      <c r="C578" s="1" t="s">
        <v>1182</v>
      </c>
      <c r="D578" s="2" t="s">
        <v>1183</v>
      </c>
      <c r="E578" s="1" t="s">
        <v>860</v>
      </c>
      <c r="F578" s="1" t="s">
        <v>1184</v>
      </c>
      <c r="G578" s="1" t="s">
        <v>2411</v>
      </c>
      <c r="H578" s="1" t="s">
        <v>1185</v>
      </c>
      <c r="I578" s="1" t="s">
        <v>2257</v>
      </c>
      <c r="J578" s="1" t="s">
        <v>2214</v>
      </c>
      <c r="K578" s="3">
        <v>6</v>
      </c>
      <c r="L578" s="4">
        <v>60</v>
      </c>
      <c r="M578" s="4">
        <f t="shared" ref="M578:M641" si="9">L578*K578</f>
        <v>360</v>
      </c>
    </row>
    <row r="579" spans="1:13" ht="15.75" customHeight="1">
      <c r="A579" s="1" t="s">
        <v>1186</v>
      </c>
      <c r="B579" s="1" t="str">
        <f>"198374119883"</f>
        <v>198374119883</v>
      </c>
      <c r="C579" s="1" t="s">
        <v>1187</v>
      </c>
      <c r="D579" s="2" t="s">
        <v>1183</v>
      </c>
      <c r="E579" s="1" t="s">
        <v>860</v>
      </c>
      <c r="F579" s="1" t="s">
        <v>1184</v>
      </c>
      <c r="G579" s="1" t="s">
        <v>2219</v>
      </c>
      <c r="H579" s="1" t="s">
        <v>1185</v>
      </c>
      <c r="I579" s="1" t="s">
        <v>2257</v>
      </c>
      <c r="J579" s="1" t="s">
        <v>2214</v>
      </c>
      <c r="K579" s="3">
        <v>20</v>
      </c>
      <c r="L579" s="4">
        <v>60</v>
      </c>
      <c r="M579" s="4">
        <f t="shared" si="9"/>
        <v>1200</v>
      </c>
    </row>
    <row r="580" spans="1:13" ht="15.75" customHeight="1">
      <c r="A580" s="1" t="s">
        <v>1188</v>
      </c>
      <c r="B580" s="1" t="str">
        <f>"198374119913"</f>
        <v>198374119913</v>
      </c>
      <c r="C580" s="1" t="s">
        <v>1189</v>
      </c>
      <c r="D580" s="2"/>
      <c r="E580" s="1" t="s">
        <v>860</v>
      </c>
      <c r="F580" s="1" t="s">
        <v>1184</v>
      </c>
      <c r="G580" s="1" t="s">
        <v>2418</v>
      </c>
      <c r="H580" s="1" t="s">
        <v>1185</v>
      </c>
      <c r="I580" s="1" t="s">
        <v>2257</v>
      </c>
      <c r="J580" s="1" t="s">
        <v>2214</v>
      </c>
      <c r="K580" s="3">
        <v>1</v>
      </c>
      <c r="L580" s="4">
        <v>60</v>
      </c>
      <c r="M580" s="4">
        <f t="shared" si="9"/>
        <v>60</v>
      </c>
    </row>
    <row r="581" spans="1:13" ht="15.75" customHeight="1">
      <c r="A581" s="1" t="s">
        <v>1190</v>
      </c>
      <c r="B581" s="1" t="str">
        <f>"198374120056"</f>
        <v>198374120056</v>
      </c>
      <c r="C581" s="1" t="s">
        <v>1191</v>
      </c>
      <c r="D581" s="2" t="s">
        <v>1192</v>
      </c>
      <c r="E581" s="1" t="s">
        <v>860</v>
      </c>
      <c r="F581" s="1" t="s">
        <v>2210</v>
      </c>
      <c r="G581" s="1" t="s">
        <v>2211</v>
      </c>
      <c r="H581" s="1" t="s">
        <v>1193</v>
      </c>
      <c r="I581" s="1" t="s">
        <v>2257</v>
      </c>
      <c r="J581" s="1" t="s">
        <v>954</v>
      </c>
      <c r="K581" s="3">
        <v>9</v>
      </c>
      <c r="L581" s="4">
        <v>60</v>
      </c>
      <c r="M581" s="4">
        <f t="shared" si="9"/>
        <v>540</v>
      </c>
    </row>
    <row r="582" spans="1:13" ht="15.75" customHeight="1">
      <c r="A582" s="1" t="s">
        <v>1194</v>
      </c>
      <c r="B582" s="1" t="str">
        <f>"198374120049"</f>
        <v>198374120049</v>
      </c>
      <c r="C582" s="1" t="s">
        <v>1195</v>
      </c>
      <c r="D582" s="2" t="s">
        <v>1192</v>
      </c>
      <c r="E582" s="1" t="s">
        <v>860</v>
      </c>
      <c r="F582" s="1" t="s">
        <v>2210</v>
      </c>
      <c r="G582" s="1" t="s">
        <v>2411</v>
      </c>
      <c r="H582" s="1" t="s">
        <v>1193</v>
      </c>
      <c r="I582" s="1" t="s">
        <v>2257</v>
      </c>
      <c r="J582" s="1" t="s">
        <v>954</v>
      </c>
      <c r="K582" s="3">
        <v>10</v>
      </c>
      <c r="L582" s="4">
        <v>60</v>
      </c>
      <c r="M582" s="4">
        <f t="shared" si="9"/>
        <v>600</v>
      </c>
    </row>
    <row r="583" spans="1:13" ht="15.75" customHeight="1">
      <c r="A583" s="1" t="s">
        <v>1196</v>
      </c>
      <c r="B583" s="1" t="str">
        <f>"198374120032"</f>
        <v>198374120032</v>
      </c>
      <c r="C583" s="1" t="s">
        <v>1197</v>
      </c>
      <c r="D583" s="2" t="s">
        <v>1192</v>
      </c>
      <c r="E583" s="1" t="s">
        <v>860</v>
      </c>
      <c r="F583" s="1" t="s">
        <v>2210</v>
      </c>
      <c r="G583" s="1" t="s">
        <v>2219</v>
      </c>
      <c r="H583" s="1" t="s">
        <v>1193</v>
      </c>
      <c r="I583" s="1" t="s">
        <v>2257</v>
      </c>
      <c r="J583" s="1" t="s">
        <v>954</v>
      </c>
      <c r="K583" s="3">
        <v>9</v>
      </c>
      <c r="L583" s="4">
        <v>60</v>
      </c>
      <c r="M583" s="4">
        <f t="shared" si="9"/>
        <v>540</v>
      </c>
    </row>
    <row r="584" spans="1:13" ht="15.75" customHeight="1">
      <c r="A584" s="1" t="s">
        <v>1198</v>
      </c>
      <c r="B584" s="1" t="str">
        <f>"198374120100"</f>
        <v>198374120100</v>
      </c>
      <c r="C584" s="1" t="s">
        <v>1199</v>
      </c>
      <c r="D584" s="2"/>
      <c r="E584" s="1" t="s">
        <v>860</v>
      </c>
      <c r="F584" s="1" t="s">
        <v>877</v>
      </c>
      <c r="G584" s="1" t="s">
        <v>2211</v>
      </c>
      <c r="H584" s="1" t="s">
        <v>1193</v>
      </c>
      <c r="I584" s="1" t="s">
        <v>2257</v>
      </c>
      <c r="J584" s="1" t="s">
        <v>954</v>
      </c>
      <c r="K584" s="3">
        <v>1</v>
      </c>
      <c r="L584" s="4">
        <v>60</v>
      </c>
      <c r="M584" s="4">
        <f t="shared" si="9"/>
        <v>60</v>
      </c>
    </row>
    <row r="585" spans="1:13" ht="15.75" customHeight="1">
      <c r="A585" s="1" t="s">
        <v>1200</v>
      </c>
      <c r="B585" s="1" t="str">
        <f>"197256361426"</f>
        <v>197256361426</v>
      </c>
      <c r="C585" s="1" t="s">
        <v>1201</v>
      </c>
      <c r="D585" s="2" t="s">
        <v>1202</v>
      </c>
      <c r="E585" s="1" t="s">
        <v>860</v>
      </c>
      <c r="F585" s="1" t="s">
        <v>2210</v>
      </c>
      <c r="G585" s="1" t="s">
        <v>2219</v>
      </c>
      <c r="H585" s="1" t="s">
        <v>1203</v>
      </c>
      <c r="I585" s="1" t="s">
        <v>2220</v>
      </c>
      <c r="J585" s="1" t="s">
        <v>2235</v>
      </c>
      <c r="K585" s="3">
        <v>149</v>
      </c>
      <c r="L585" s="4">
        <v>65</v>
      </c>
      <c r="M585" s="4">
        <f t="shared" si="9"/>
        <v>9685</v>
      </c>
    </row>
    <row r="586" spans="1:13" ht="15.75" customHeight="1">
      <c r="A586" s="1" t="s">
        <v>1204</v>
      </c>
      <c r="B586" s="1" t="str">
        <f>"196615620136"</f>
        <v>196615620136</v>
      </c>
      <c r="C586" s="1" t="s">
        <v>1205</v>
      </c>
      <c r="D586" s="2" t="s">
        <v>1206</v>
      </c>
      <c r="E586" s="1" t="s">
        <v>860</v>
      </c>
      <c r="F586" s="1" t="s">
        <v>1207</v>
      </c>
      <c r="G586" s="1" t="s">
        <v>2219</v>
      </c>
      <c r="H586" s="1" t="s">
        <v>1203</v>
      </c>
      <c r="I586" s="1" t="s">
        <v>2220</v>
      </c>
      <c r="J586" s="1" t="s">
        <v>2235</v>
      </c>
      <c r="K586" s="3">
        <v>29</v>
      </c>
      <c r="L586" s="4">
        <v>65</v>
      </c>
      <c r="M586" s="4">
        <f t="shared" si="9"/>
        <v>1885</v>
      </c>
    </row>
    <row r="587" spans="1:13" ht="15.75" customHeight="1">
      <c r="A587" s="1" t="s">
        <v>1208</v>
      </c>
      <c r="B587" s="1" t="str">
        <f>"196615620174"</f>
        <v>196615620174</v>
      </c>
      <c r="C587" s="1" t="s">
        <v>1209</v>
      </c>
      <c r="D587" s="2" t="s">
        <v>1210</v>
      </c>
      <c r="E587" s="1" t="s">
        <v>860</v>
      </c>
      <c r="F587" s="1" t="s">
        <v>1211</v>
      </c>
      <c r="G587" s="1" t="s">
        <v>2219</v>
      </c>
      <c r="H587" s="1" t="s">
        <v>1203</v>
      </c>
      <c r="I587" s="1" t="s">
        <v>2220</v>
      </c>
      <c r="J587" s="1" t="s">
        <v>2235</v>
      </c>
      <c r="K587" s="3">
        <v>83</v>
      </c>
      <c r="L587" s="4">
        <v>65</v>
      </c>
      <c r="M587" s="4">
        <f t="shared" si="9"/>
        <v>5395</v>
      </c>
    </row>
    <row r="588" spans="1:13" ht="15.75" customHeight="1">
      <c r="A588" s="1" t="s">
        <v>1212</v>
      </c>
      <c r="B588" s="1" t="str">
        <f>"195900374273"</f>
        <v>195900374273</v>
      </c>
      <c r="C588" s="1" t="s">
        <v>1213</v>
      </c>
      <c r="D588" s="2" t="s">
        <v>1214</v>
      </c>
      <c r="E588" s="1" t="s">
        <v>1215</v>
      </c>
      <c r="F588" s="1" t="s">
        <v>1216</v>
      </c>
      <c r="G588" s="1" t="s">
        <v>2211</v>
      </c>
      <c r="H588" s="1" t="s">
        <v>1217</v>
      </c>
      <c r="I588" s="1" t="s">
        <v>2257</v>
      </c>
      <c r="J588" s="1" t="s">
        <v>2815</v>
      </c>
      <c r="K588" s="3">
        <v>27</v>
      </c>
      <c r="L588" s="4">
        <v>100</v>
      </c>
      <c r="M588" s="4">
        <f t="shared" si="9"/>
        <v>2700</v>
      </c>
    </row>
    <row r="589" spans="1:13" ht="15.75" customHeight="1">
      <c r="A589" s="1" t="s">
        <v>1218</v>
      </c>
      <c r="B589" s="1" t="str">
        <f>"195900374266"</f>
        <v>195900374266</v>
      </c>
      <c r="C589" s="1" t="s">
        <v>1219</v>
      </c>
      <c r="D589" s="2"/>
      <c r="E589" s="1" t="s">
        <v>1215</v>
      </c>
      <c r="F589" s="1" t="s">
        <v>1216</v>
      </c>
      <c r="G589" s="1" t="s">
        <v>2411</v>
      </c>
      <c r="H589" s="1" t="s">
        <v>1217</v>
      </c>
      <c r="I589" s="1" t="s">
        <v>2257</v>
      </c>
      <c r="J589" s="1" t="s">
        <v>2815</v>
      </c>
      <c r="K589" s="3">
        <v>1</v>
      </c>
      <c r="L589" s="4">
        <v>100</v>
      </c>
      <c r="M589" s="4">
        <f t="shared" si="9"/>
        <v>100</v>
      </c>
    </row>
    <row r="590" spans="1:13" ht="15.75" customHeight="1">
      <c r="A590" s="1" t="s">
        <v>1220</v>
      </c>
      <c r="B590" s="1" t="str">
        <f>"197206139808"</f>
        <v>197206139808</v>
      </c>
      <c r="C590" s="1" t="s">
        <v>1221</v>
      </c>
      <c r="D590" s="2" t="s">
        <v>1222</v>
      </c>
      <c r="E590" s="1" t="s">
        <v>1223</v>
      </c>
      <c r="F590" s="1" t="s">
        <v>1224</v>
      </c>
      <c r="G590" s="1" t="s">
        <v>2211</v>
      </c>
      <c r="H590" s="1" t="s">
        <v>1225</v>
      </c>
      <c r="I590" s="1" t="s">
        <v>2220</v>
      </c>
      <c r="J590" s="1" t="s">
        <v>1226</v>
      </c>
      <c r="K590" s="3">
        <v>96</v>
      </c>
      <c r="L590" s="4">
        <v>55</v>
      </c>
      <c r="M590" s="4">
        <f t="shared" si="9"/>
        <v>5280</v>
      </c>
    </row>
    <row r="591" spans="1:13" ht="15.75" customHeight="1">
      <c r="A591" s="1" t="s">
        <v>1227</v>
      </c>
      <c r="B591" s="1" t="str">
        <f>"197206139839"</f>
        <v>197206139839</v>
      </c>
      <c r="C591" s="1" t="s">
        <v>1228</v>
      </c>
      <c r="D591" s="2" t="s">
        <v>1222</v>
      </c>
      <c r="E591" s="1" t="s">
        <v>1223</v>
      </c>
      <c r="F591" s="1" t="s">
        <v>1224</v>
      </c>
      <c r="G591" s="1" t="s">
        <v>2418</v>
      </c>
      <c r="H591" s="1" t="s">
        <v>1225</v>
      </c>
      <c r="I591" s="1" t="s">
        <v>2220</v>
      </c>
      <c r="J591" s="1" t="s">
        <v>1226</v>
      </c>
      <c r="K591" s="3">
        <v>136</v>
      </c>
      <c r="L591" s="4">
        <v>55</v>
      </c>
      <c r="M591" s="4">
        <f t="shared" si="9"/>
        <v>7480</v>
      </c>
    </row>
    <row r="592" spans="1:13" ht="15.75" customHeight="1">
      <c r="A592" s="1" t="s">
        <v>1229</v>
      </c>
      <c r="B592" s="1" t="str">
        <f>"196407250220"</f>
        <v>196407250220</v>
      </c>
      <c r="C592" s="1" t="s">
        <v>1230</v>
      </c>
      <c r="D592" s="2" t="s">
        <v>1231</v>
      </c>
      <c r="E592" s="1" t="s">
        <v>1223</v>
      </c>
      <c r="F592" s="1" t="s">
        <v>1232</v>
      </c>
      <c r="G592" s="1" t="str">
        <f>"32"</f>
        <v>32</v>
      </c>
      <c r="H592" s="1" t="s">
        <v>1233</v>
      </c>
      <c r="I592" s="1" t="s">
        <v>2220</v>
      </c>
      <c r="J592" s="1" t="s">
        <v>2221</v>
      </c>
      <c r="K592" s="3">
        <v>1</v>
      </c>
      <c r="L592" s="4">
        <v>65</v>
      </c>
      <c r="M592" s="4">
        <f t="shared" si="9"/>
        <v>65</v>
      </c>
    </row>
    <row r="593" spans="1:13" ht="15.75" customHeight="1">
      <c r="A593" s="1" t="s">
        <v>1234</v>
      </c>
      <c r="B593" s="1" t="str">
        <f>"197206879766"</f>
        <v>197206879766</v>
      </c>
      <c r="C593" s="1" t="s">
        <v>1235</v>
      </c>
      <c r="D593" s="2" t="s">
        <v>1236</v>
      </c>
      <c r="E593" s="1" t="s">
        <v>1223</v>
      </c>
      <c r="F593" s="1" t="s">
        <v>1237</v>
      </c>
      <c r="G593" s="1" t="s">
        <v>2411</v>
      </c>
      <c r="H593" s="1" t="s">
        <v>1238</v>
      </c>
      <c r="I593" s="1" t="s">
        <v>2220</v>
      </c>
      <c r="J593" s="1" t="s">
        <v>2235</v>
      </c>
      <c r="K593" s="3">
        <v>335</v>
      </c>
      <c r="L593" s="4">
        <v>70</v>
      </c>
      <c r="M593" s="4">
        <f t="shared" si="9"/>
        <v>23450</v>
      </c>
    </row>
    <row r="594" spans="1:13" ht="15.75" customHeight="1">
      <c r="A594" s="1" t="s">
        <v>1239</v>
      </c>
      <c r="B594" s="1" t="str">
        <f>"197206879773"</f>
        <v>197206879773</v>
      </c>
      <c r="C594" s="1" t="s">
        <v>1240</v>
      </c>
      <c r="D594" s="2" t="s">
        <v>1236</v>
      </c>
      <c r="E594" s="1" t="s">
        <v>1223</v>
      </c>
      <c r="F594" s="1" t="s">
        <v>1237</v>
      </c>
      <c r="G594" s="1" t="s">
        <v>2219</v>
      </c>
      <c r="H594" s="1" t="s">
        <v>1238</v>
      </c>
      <c r="I594" s="1" t="s">
        <v>2220</v>
      </c>
      <c r="J594" s="1" t="s">
        <v>2235</v>
      </c>
      <c r="K594" s="3">
        <v>291</v>
      </c>
      <c r="L594" s="4">
        <v>70</v>
      </c>
      <c r="M594" s="4">
        <f t="shared" si="9"/>
        <v>20370</v>
      </c>
    </row>
    <row r="595" spans="1:13" ht="15.75" customHeight="1">
      <c r="A595" s="1" t="s">
        <v>1241</v>
      </c>
      <c r="B595" s="1" t="str">
        <f>"197206879650"</f>
        <v>197206879650</v>
      </c>
      <c r="C595" s="1" t="s">
        <v>1242</v>
      </c>
      <c r="D595" s="2" t="s">
        <v>1243</v>
      </c>
      <c r="E595" s="1" t="s">
        <v>1223</v>
      </c>
      <c r="F595" s="1" t="s">
        <v>1244</v>
      </c>
      <c r="G595" s="1" t="s">
        <v>2211</v>
      </c>
      <c r="H595" s="1" t="s">
        <v>1245</v>
      </c>
      <c r="I595" s="1" t="s">
        <v>2220</v>
      </c>
      <c r="J595" s="1" t="s">
        <v>2235</v>
      </c>
      <c r="K595" s="3">
        <v>989</v>
      </c>
      <c r="L595" s="4">
        <v>70</v>
      </c>
      <c r="M595" s="4">
        <f t="shared" si="9"/>
        <v>69230</v>
      </c>
    </row>
    <row r="596" spans="1:13" ht="15.75" customHeight="1">
      <c r="A596" s="1" t="s">
        <v>1246</v>
      </c>
      <c r="B596" s="1" t="str">
        <f>"197206879667"</f>
        <v>197206879667</v>
      </c>
      <c r="C596" s="1" t="s">
        <v>1247</v>
      </c>
      <c r="D596" s="2" t="s">
        <v>1243</v>
      </c>
      <c r="E596" s="1" t="s">
        <v>1223</v>
      </c>
      <c r="F596" s="1" t="s">
        <v>1244</v>
      </c>
      <c r="G596" s="1" t="s">
        <v>2411</v>
      </c>
      <c r="H596" s="1" t="s">
        <v>1245</v>
      </c>
      <c r="I596" s="1" t="s">
        <v>2220</v>
      </c>
      <c r="J596" s="1" t="s">
        <v>2235</v>
      </c>
      <c r="K596" s="3">
        <v>1537</v>
      </c>
      <c r="L596" s="4">
        <v>70</v>
      </c>
      <c r="M596" s="4">
        <f t="shared" si="9"/>
        <v>107590</v>
      </c>
    </row>
    <row r="597" spans="1:13" ht="15.75" customHeight="1">
      <c r="A597" s="1" t="s">
        <v>1248</v>
      </c>
      <c r="B597" s="1" t="str">
        <f>"197206879674"</f>
        <v>197206879674</v>
      </c>
      <c r="C597" s="1" t="s">
        <v>1249</v>
      </c>
      <c r="D597" s="2" t="s">
        <v>1243</v>
      </c>
      <c r="E597" s="1" t="s">
        <v>1223</v>
      </c>
      <c r="F597" s="1" t="s">
        <v>1244</v>
      </c>
      <c r="G597" s="1" t="s">
        <v>2219</v>
      </c>
      <c r="H597" s="1" t="s">
        <v>1245</v>
      </c>
      <c r="I597" s="1" t="s">
        <v>2220</v>
      </c>
      <c r="J597" s="1" t="s">
        <v>2235</v>
      </c>
      <c r="K597" s="3">
        <v>955</v>
      </c>
      <c r="L597" s="4">
        <v>70</v>
      </c>
      <c r="M597" s="4">
        <f t="shared" si="9"/>
        <v>66850</v>
      </c>
    </row>
    <row r="598" spans="1:13" ht="15.75" customHeight="1">
      <c r="A598" s="1" t="s">
        <v>1250</v>
      </c>
      <c r="B598" s="1" t="str">
        <f>"197206879254"</f>
        <v>197206879254</v>
      </c>
      <c r="C598" s="1" t="s">
        <v>1251</v>
      </c>
      <c r="D598" s="2" t="s">
        <v>1252</v>
      </c>
      <c r="E598" s="1" t="s">
        <v>1223</v>
      </c>
      <c r="F598" s="1" t="s">
        <v>1253</v>
      </c>
      <c r="G598" s="1" t="s">
        <v>2211</v>
      </c>
      <c r="H598" s="1" t="s">
        <v>1254</v>
      </c>
      <c r="I598" s="1" t="s">
        <v>2220</v>
      </c>
      <c r="J598" s="1" t="s">
        <v>2235</v>
      </c>
      <c r="K598" s="3">
        <v>1099</v>
      </c>
      <c r="L598" s="4">
        <v>70</v>
      </c>
      <c r="M598" s="4">
        <f t="shared" si="9"/>
        <v>76930</v>
      </c>
    </row>
    <row r="599" spans="1:13" ht="15.75" customHeight="1">
      <c r="A599" s="1" t="s">
        <v>1255</v>
      </c>
      <c r="B599" s="1" t="str">
        <f>"197206879261"</f>
        <v>197206879261</v>
      </c>
      <c r="C599" s="1" t="s">
        <v>1256</v>
      </c>
      <c r="D599" s="2" t="s">
        <v>1252</v>
      </c>
      <c r="E599" s="1" t="s">
        <v>1223</v>
      </c>
      <c r="F599" s="1" t="s">
        <v>1253</v>
      </c>
      <c r="G599" s="1" t="s">
        <v>2411</v>
      </c>
      <c r="H599" s="1" t="s">
        <v>1254</v>
      </c>
      <c r="I599" s="1" t="s">
        <v>2220</v>
      </c>
      <c r="J599" s="1" t="s">
        <v>2235</v>
      </c>
      <c r="K599" s="3">
        <v>1598</v>
      </c>
      <c r="L599" s="4">
        <v>70</v>
      </c>
      <c r="M599" s="4">
        <f t="shared" si="9"/>
        <v>111860</v>
      </c>
    </row>
    <row r="600" spans="1:13" ht="15.75" customHeight="1">
      <c r="A600" s="1" t="s">
        <v>1257</v>
      </c>
      <c r="B600" s="1" t="str">
        <f>"197206879278"</f>
        <v>197206879278</v>
      </c>
      <c r="C600" s="1" t="s">
        <v>1258</v>
      </c>
      <c r="D600" s="2" t="s">
        <v>1252</v>
      </c>
      <c r="E600" s="1" t="s">
        <v>1223</v>
      </c>
      <c r="F600" s="1" t="s">
        <v>1253</v>
      </c>
      <c r="G600" s="1" t="s">
        <v>2219</v>
      </c>
      <c r="H600" s="1" t="s">
        <v>1254</v>
      </c>
      <c r="I600" s="1" t="s">
        <v>2220</v>
      </c>
      <c r="J600" s="1" t="s">
        <v>2235</v>
      </c>
      <c r="K600" s="3">
        <v>986</v>
      </c>
      <c r="L600" s="4">
        <v>70</v>
      </c>
      <c r="M600" s="4">
        <f t="shared" si="9"/>
        <v>69020</v>
      </c>
    </row>
    <row r="601" spans="1:13" ht="15.75" customHeight="1">
      <c r="A601" s="1" t="s">
        <v>1259</v>
      </c>
      <c r="B601" s="1" t="str">
        <f>"196407930344"</f>
        <v>196407930344</v>
      </c>
      <c r="C601" s="1" t="s">
        <v>1260</v>
      </c>
      <c r="D601" s="2" t="s">
        <v>1261</v>
      </c>
      <c r="E601" s="1" t="s">
        <v>1223</v>
      </c>
      <c r="F601" s="1" t="s">
        <v>1262</v>
      </c>
      <c r="G601" s="1" t="s">
        <v>2219</v>
      </c>
      <c r="H601" s="1" t="s">
        <v>1263</v>
      </c>
      <c r="I601" s="1" t="s">
        <v>2220</v>
      </c>
      <c r="J601" s="1" t="s">
        <v>2844</v>
      </c>
      <c r="K601" s="3">
        <v>1</v>
      </c>
      <c r="L601" s="4">
        <v>85</v>
      </c>
      <c r="M601" s="4">
        <f t="shared" si="9"/>
        <v>85</v>
      </c>
    </row>
    <row r="602" spans="1:13" ht="15.75" customHeight="1">
      <c r="A602" s="1" t="s">
        <v>1264</v>
      </c>
      <c r="B602" s="1" t="str">
        <f>"767890807866"</f>
        <v>767890807866</v>
      </c>
      <c r="C602" s="1" t="s">
        <v>1265</v>
      </c>
      <c r="D602" s="2" t="s">
        <v>1266</v>
      </c>
      <c r="E602" s="1" t="s">
        <v>1223</v>
      </c>
      <c r="F602" s="1" t="s">
        <v>2210</v>
      </c>
      <c r="G602" s="1" t="s">
        <v>2405</v>
      </c>
      <c r="H602" s="1" t="s">
        <v>1267</v>
      </c>
      <c r="I602" s="1" t="s">
        <v>2220</v>
      </c>
      <c r="J602" s="1" t="s">
        <v>2844</v>
      </c>
      <c r="K602" s="3">
        <v>130</v>
      </c>
      <c r="L602" s="4">
        <v>70</v>
      </c>
      <c r="M602" s="4">
        <f t="shared" si="9"/>
        <v>9100</v>
      </c>
    </row>
    <row r="603" spans="1:13" ht="15.75" customHeight="1">
      <c r="A603" s="1" t="s">
        <v>1268</v>
      </c>
      <c r="B603" s="1" t="str">
        <f>"767890807842"</f>
        <v>767890807842</v>
      </c>
      <c r="C603" s="1" t="s">
        <v>1269</v>
      </c>
      <c r="D603" s="2" t="s">
        <v>1266</v>
      </c>
      <c r="E603" s="1" t="s">
        <v>1223</v>
      </c>
      <c r="F603" s="1" t="s">
        <v>2210</v>
      </c>
      <c r="G603" s="1" t="s">
        <v>2211</v>
      </c>
      <c r="H603" s="1" t="s">
        <v>1267</v>
      </c>
      <c r="I603" s="1" t="s">
        <v>2220</v>
      </c>
      <c r="J603" s="1" t="s">
        <v>2844</v>
      </c>
      <c r="K603" s="3">
        <v>367</v>
      </c>
      <c r="L603" s="4">
        <v>70</v>
      </c>
      <c r="M603" s="4">
        <f t="shared" si="9"/>
        <v>25690</v>
      </c>
    </row>
    <row r="604" spans="1:13" ht="15.75" customHeight="1">
      <c r="A604" s="1" t="s">
        <v>1270</v>
      </c>
      <c r="B604" s="1" t="str">
        <f>"767890807835"</f>
        <v>767890807835</v>
      </c>
      <c r="C604" s="1" t="s">
        <v>1271</v>
      </c>
      <c r="D604" s="2" t="s">
        <v>1266</v>
      </c>
      <c r="E604" s="1" t="s">
        <v>1223</v>
      </c>
      <c r="F604" s="1" t="s">
        <v>2210</v>
      </c>
      <c r="G604" s="1" t="s">
        <v>2411</v>
      </c>
      <c r="H604" s="1" t="s">
        <v>1267</v>
      </c>
      <c r="I604" s="1" t="s">
        <v>2220</v>
      </c>
      <c r="J604" s="1" t="s">
        <v>2844</v>
      </c>
      <c r="K604" s="3">
        <v>65</v>
      </c>
      <c r="L604" s="4">
        <v>70</v>
      </c>
      <c r="M604" s="4">
        <f t="shared" si="9"/>
        <v>4550</v>
      </c>
    </row>
    <row r="605" spans="1:13" ht="15.75" customHeight="1">
      <c r="A605" s="1" t="s">
        <v>1272</v>
      </c>
      <c r="B605" s="1" t="str">
        <f>"767890807859"</f>
        <v>767890807859</v>
      </c>
      <c r="C605" s="1" t="s">
        <v>1273</v>
      </c>
      <c r="D605" s="2" t="s">
        <v>1266</v>
      </c>
      <c r="E605" s="1" t="s">
        <v>1223</v>
      </c>
      <c r="F605" s="1" t="s">
        <v>2210</v>
      </c>
      <c r="G605" s="1" t="s">
        <v>2418</v>
      </c>
      <c r="H605" s="1" t="s">
        <v>1267</v>
      </c>
      <c r="I605" s="1" t="s">
        <v>2220</v>
      </c>
      <c r="J605" s="1" t="s">
        <v>2844</v>
      </c>
      <c r="K605" s="3">
        <v>423</v>
      </c>
      <c r="L605" s="4">
        <v>70</v>
      </c>
      <c r="M605" s="4">
        <f t="shared" si="9"/>
        <v>29610</v>
      </c>
    </row>
    <row r="606" spans="1:13" ht="15.75" customHeight="1">
      <c r="A606" s="1" t="s">
        <v>1274</v>
      </c>
      <c r="B606" s="1" t="str">
        <f>"767890807910"</f>
        <v>767890807910</v>
      </c>
      <c r="C606" s="1" t="s">
        <v>1275</v>
      </c>
      <c r="D606" s="2" t="s">
        <v>1276</v>
      </c>
      <c r="E606" s="1" t="s">
        <v>1223</v>
      </c>
      <c r="F606" s="1" t="s">
        <v>1277</v>
      </c>
      <c r="G606" s="1" t="s">
        <v>2405</v>
      </c>
      <c r="H606" s="1" t="s">
        <v>1267</v>
      </c>
      <c r="I606" s="1" t="s">
        <v>2220</v>
      </c>
      <c r="J606" s="1" t="s">
        <v>2844</v>
      </c>
      <c r="K606" s="3">
        <v>117</v>
      </c>
      <c r="L606" s="4">
        <v>70</v>
      </c>
      <c r="M606" s="4">
        <f t="shared" si="9"/>
        <v>8190</v>
      </c>
    </row>
    <row r="607" spans="1:13" ht="15.75" customHeight="1">
      <c r="A607" s="1" t="s">
        <v>1278</v>
      </c>
      <c r="B607" s="1" t="str">
        <f>"767890807897"</f>
        <v>767890807897</v>
      </c>
      <c r="C607" s="1" t="s">
        <v>1279</v>
      </c>
      <c r="D607" s="2" t="s">
        <v>1276</v>
      </c>
      <c r="E607" s="1" t="s">
        <v>1223</v>
      </c>
      <c r="F607" s="1" t="s">
        <v>1277</v>
      </c>
      <c r="G607" s="1" t="s">
        <v>2211</v>
      </c>
      <c r="H607" s="1" t="s">
        <v>1267</v>
      </c>
      <c r="I607" s="1" t="s">
        <v>2220</v>
      </c>
      <c r="J607" s="1" t="s">
        <v>2844</v>
      </c>
      <c r="K607" s="3">
        <v>293</v>
      </c>
      <c r="L607" s="4">
        <v>70</v>
      </c>
      <c r="M607" s="4">
        <f t="shared" si="9"/>
        <v>20510</v>
      </c>
    </row>
    <row r="608" spans="1:13" ht="15.75" customHeight="1">
      <c r="A608" s="1" t="s">
        <v>1280</v>
      </c>
      <c r="B608" s="1" t="str">
        <f>"767890807880"</f>
        <v>767890807880</v>
      </c>
      <c r="C608" s="1" t="s">
        <v>1281</v>
      </c>
      <c r="D608" s="2" t="s">
        <v>1276</v>
      </c>
      <c r="E608" s="1" t="s">
        <v>1223</v>
      </c>
      <c r="F608" s="1" t="s">
        <v>1277</v>
      </c>
      <c r="G608" s="1" t="s">
        <v>2411</v>
      </c>
      <c r="H608" s="1" t="s">
        <v>1267</v>
      </c>
      <c r="I608" s="1" t="s">
        <v>2220</v>
      </c>
      <c r="J608" s="1" t="s">
        <v>2844</v>
      </c>
      <c r="K608" s="3">
        <v>79</v>
      </c>
      <c r="L608" s="4">
        <v>70</v>
      </c>
      <c r="M608" s="4">
        <f t="shared" si="9"/>
        <v>5530</v>
      </c>
    </row>
    <row r="609" spans="1:13" ht="15.75" customHeight="1">
      <c r="A609" s="1" t="s">
        <v>1282</v>
      </c>
      <c r="B609" s="1" t="str">
        <f>"767890807903"</f>
        <v>767890807903</v>
      </c>
      <c r="C609" s="1" t="s">
        <v>1283</v>
      </c>
      <c r="D609" s="2" t="s">
        <v>1276</v>
      </c>
      <c r="E609" s="1" t="s">
        <v>1223</v>
      </c>
      <c r="F609" s="1" t="s">
        <v>1277</v>
      </c>
      <c r="G609" s="1" t="s">
        <v>2418</v>
      </c>
      <c r="H609" s="1" t="s">
        <v>1267</v>
      </c>
      <c r="I609" s="1" t="s">
        <v>2220</v>
      </c>
      <c r="J609" s="1" t="s">
        <v>2844</v>
      </c>
      <c r="K609" s="3">
        <v>291</v>
      </c>
      <c r="L609" s="4">
        <v>70</v>
      </c>
      <c r="M609" s="4">
        <f t="shared" si="9"/>
        <v>20370</v>
      </c>
    </row>
    <row r="610" spans="1:13" ht="15.75" customHeight="1">
      <c r="A610" s="1" t="s">
        <v>1284</v>
      </c>
      <c r="B610" s="1" t="str">
        <f>"196407944662"</f>
        <v>196407944662</v>
      </c>
      <c r="C610" s="1" t="s">
        <v>1285</v>
      </c>
      <c r="D610" s="2"/>
      <c r="E610" s="1" t="s">
        <v>1223</v>
      </c>
      <c r="F610" s="1" t="s">
        <v>2210</v>
      </c>
      <c r="G610" s="1" t="s">
        <v>2211</v>
      </c>
      <c r="H610" s="1" t="s">
        <v>1286</v>
      </c>
      <c r="I610" s="1" t="s">
        <v>2220</v>
      </c>
      <c r="J610" s="1" t="s">
        <v>2844</v>
      </c>
      <c r="K610" s="3">
        <v>1</v>
      </c>
      <c r="L610" s="4">
        <v>80</v>
      </c>
      <c r="M610" s="4">
        <f t="shared" si="9"/>
        <v>80</v>
      </c>
    </row>
    <row r="611" spans="1:13" ht="15.75" customHeight="1">
      <c r="A611" s="1" t="s">
        <v>1287</v>
      </c>
      <c r="B611" s="1" t="str">
        <f>"767890808047"</f>
        <v>767890808047</v>
      </c>
      <c r="C611" s="1" t="s">
        <v>1288</v>
      </c>
      <c r="D611" s="2" t="s">
        <v>1289</v>
      </c>
      <c r="E611" s="1" t="s">
        <v>1223</v>
      </c>
      <c r="F611" s="1" t="s">
        <v>2210</v>
      </c>
      <c r="G611" s="1" t="s">
        <v>2211</v>
      </c>
      <c r="H611" s="1" t="s">
        <v>1290</v>
      </c>
      <c r="I611" s="1" t="s">
        <v>2220</v>
      </c>
      <c r="J611" s="1" t="s">
        <v>2935</v>
      </c>
      <c r="K611" s="3">
        <v>33</v>
      </c>
      <c r="L611" s="4">
        <v>125</v>
      </c>
      <c r="M611" s="4">
        <f t="shared" si="9"/>
        <v>4125</v>
      </c>
    </row>
    <row r="612" spans="1:13" ht="15.75" customHeight="1">
      <c r="A612" s="1" t="s">
        <v>1291</v>
      </c>
      <c r="B612" s="1" t="str">
        <f>"767890808085"</f>
        <v>767890808085</v>
      </c>
      <c r="C612" s="1" t="s">
        <v>1292</v>
      </c>
      <c r="D612" s="2"/>
      <c r="E612" s="1" t="s">
        <v>1223</v>
      </c>
      <c r="F612" s="1" t="s">
        <v>1277</v>
      </c>
      <c r="G612" s="1" t="s">
        <v>2411</v>
      </c>
      <c r="H612" s="1" t="s">
        <v>1290</v>
      </c>
      <c r="I612" s="1" t="s">
        <v>2220</v>
      </c>
      <c r="J612" s="1" t="s">
        <v>2935</v>
      </c>
      <c r="K612" s="3">
        <v>1</v>
      </c>
      <c r="L612" s="4">
        <v>125</v>
      </c>
      <c r="M612" s="4">
        <f t="shared" si="9"/>
        <v>125</v>
      </c>
    </row>
    <row r="613" spans="1:13" ht="15.75" customHeight="1">
      <c r="A613" s="1" t="s">
        <v>1293</v>
      </c>
      <c r="B613" s="1" t="str">
        <f>"767890807712"</f>
        <v>767890807712</v>
      </c>
      <c r="C613" s="1" t="s">
        <v>1294</v>
      </c>
      <c r="D613" s="2" t="s">
        <v>1295</v>
      </c>
      <c r="E613" s="1" t="s">
        <v>1223</v>
      </c>
      <c r="F613" s="1" t="s">
        <v>2210</v>
      </c>
      <c r="G613" s="1" t="s">
        <v>2405</v>
      </c>
      <c r="H613" s="1" t="s">
        <v>1296</v>
      </c>
      <c r="I613" s="1" t="s">
        <v>2220</v>
      </c>
      <c r="J613" s="1" t="s">
        <v>2844</v>
      </c>
      <c r="K613" s="3">
        <v>294</v>
      </c>
      <c r="L613" s="4">
        <v>90</v>
      </c>
      <c r="M613" s="4">
        <f t="shared" si="9"/>
        <v>26460</v>
      </c>
    </row>
    <row r="614" spans="1:13" ht="15.75" customHeight="1">
      <c r="A614" s="1" t="s">
        <v>1297</v>
      </c>
      <c r="B614" s="1" t="str">
        <f>"767890807699"</f>
        <v>767890807699</v>
      </c>
      <c r="C614" s="1" t="s">
        <v>1298</v>
      </c>
      <c r="D614" s="2" t="s">
        <v>1295</v>
      </c>
      <c r="E614" s="1" t="s">
        <v>1223</v>
      </c>
      <c r="F614" s="1" t="s">
        <v>2210</v>
      </c>
      <c r="G614" s="1" t="s">
        <v>2211</v>
      </c>
      <c r="H614" s="1" t="s">
        <v>1296</v>
      </c>
      <c r="I614" s="1" t="s">
        <v>2220</v>
      </c>
      <c r="J614" s="1" t="s">
        <v>2844</v>
      </c>
      <c r="K614" s="3">
        <v>785</v>
      </c>
      <c r="L614" s="4">
        <v>90</v>
      </c>
      <c r="M614" s="4">
        <f t="shared" si="9"/>
        <v>70650</v>
      </c>
    </row>
    <row r="615" spans="1:13" ht="15.75" customHeight="1">
      <c r="A615" s="1" t="s">
        <v>1299</v>
      </c>
      <c r="B615" s="1" t="str">
        <f>"767890807682"</f>
        <v>767890807682</v>
      </c>
      <c r="C615" s="1" t="s">
        <v>1300</v>
      </c>
      <c r="D615" s="2" t="s">
        <v>1295</v>
      </c>
      <c r="E615" s="1" t="s">
        <v>1223</v>
      </c>
      <c r="F615" s="1" t="s">
        <v>2210</v>
      </c>
      <c r="G615" s="1" t="s">
        <v>2411</v>
      </c>
      <c r="H615" s="1" t="s">
        <v>1296</v>
      </c>
      <c r="I615" s="1" t="s">
        <v>2220</v>
      </c>
      <c r="J615" s="1" t="s">
        <v>2844</v>
      </c>
      <c r="K615" s="3">
        <v>351</v>
      </c>
      <c r="L615" s="4">
        <v>90</v>
      </c>
      <c r="M615" s="4">
        <f t="shared" si="9"/>
        <v>31590</v>
      </c>
    </row>
    <row r="616" spans="1:13" ht="15.75" customHeight="1">
      <c r="A616" s="1" t="s">
        <v>1301</v>
      </c>
      <c r="B616" s="1" t="str">
        <f>"767890807705"</f>
        <v>767890807705</v>
      </c>
      <c r="C616" s="1" t="s">
        <v>1302</v>
      </c>
      <c r="D616" s="2" t="s">
        <v>1295</v>
      </c>
      <c r="E616" s="1" t="s">
        <v>1223</v>
      </c>
      <c r="F616" s="1" t="s">
        <v>2210</v>
      </c>
      <c r="G616" s="1" t="s">
        <v>2418</v>
      </c>
      <c r="H616" s="1" t="s">
        <v>1296</v>
      </c>
      <c r="I616" s="1" t="s">
        <v>2220</v>
      </c>
      <c r="J616" s="1" t="s">
        <v>2844</v>
      </c>
      <c r="K616" s="3">
        <v>750</v>
      </c>
      <c r="L616" s="4">
        <v>90</v>
      </c>
      <c r="M616" s="4">
        <f t="shared" si="9"/>
        <v>67500</v>
      </c>
    </row>
    <row r="617" spans="1:13" ht="15.75" customHeight="1">
      <c r="A617" s="1" t="s">
        <v>1303</v>
      </c>
      <c r="B617" s="1" t="str">
        <f>"767890807767"</f>
        <v>767890807767</v>
      </c>
      <c r="C617" s="1" t="s">
        <v>1304</v>
      </c>
      <c r="D617" s="2" t="s">
        <v>1305</v>
      </c>
      <c r="E617" s="1" t="s">
        <v>1223</v>
      </c>
      <c r="F617" s="1" t="s">
        <v>1277</v>
      </c>
      <c r="G617" s="1" t="s">
        <v>2405</v>
      </c>
      <c r="H617" s="1" t="s">
        <v>1296</v>
      </c>
      <c r="I617" s="1" t="s">
        <v>2220</v>
      </c>
      <c r="J617" s="1" t="s">
        <v>2844</v>
      </c>
      <c r="K617" s="3">
        <v>71</v>
      </c>
      <c r="L617" s="4">
        <v>90</v>
      </c>
      <c r="M617" s="4">
        <f t="shared" si="9"/>
        <v>6390</v>
      </c>
    </row>
    <row r="618" spans="1:13" ht="15.75" customHeight="1">
      <c r="A618" s="1" t="s">
        <v>1306</v>
      </c>
      <c r="B618" s="1" t="str">
        <f>"767890807743"</f>
        <v>767890807743</v>
      </c>
      <c r="C618" s="1" t="s">
        <v>1307</v>
      </c>
      <c r="D618" s="2" t="s">
        <v>1305</v>
      </c>
      <c r="E618" s="1" t="s">
        <v>1223</v>
      </c>
      <c r="F618" s="1" t="s">
        <v>1277</v>
      </c>
      <c r="G618" s="1" t="s">
        <v>2211</v>
      </c>
      <c r="H618" s="1" t="s">
        <v>1296</v>
      </c>
      <c r="I618" s="1" t="s">
        <v>2220</v>
      </c>
      <c r="J618" s="1" t="s">
        <v>2844</v>
      </c>
      <c r="K618" s="3">
        <v>266</v>
      </c>
      <c r="L618" s="4">
        <v>90</v>
      </c>
      <c r="M618" s="4">
        <f t="shared" si="9"/>
        <v>23940</v>
      </c>
    </row>
    <row r="619" spans="1:13" ht="15.75" customHeight="1">
      <c r="A619" s="1" t="s">
        <v>1308</v>
      </c>
      <c r="B619" s="1" t="str">
        <f>"767890807736"</f>
        <v>767890807736</v>
      </c>
      <c r="C619" s="1" t="s">
        <v>1309</v>
      </c>
      <c r="D619" s="2" t="s">
        <v>1305</v>
      </c>
      <c r="E619" s="1" t="s">
        <v>1223</v>
      </c>
      <c r="F619" s="1" t="s">
        <v>1277</v>
      </c>
      <c r="G619" s="1" t="s">
        <v>2411</v>
      </c>
      <c r="H619" s="1" t="s">
        <v>1296</v>
      </c>
      <c r="I619" s="1" t="s">
        <v>2220</v>
      </c>
      <c r="J619" s="1" t="s">
        <v>2844</v>
      </c>
      <c r="K619" s="3">
        <v>110</v>
      </c>
      <c r="L619" s="4">
        <v>90</v>
      </c>
      <c r="M619" s="4">
        <f t="shared" si="9"/>
        <v>9900</v>
      </c>
    </row>
    <row r="620" spans="1:13" ht="15.75" customHeight="1">
      <c r="A620" s="1" t="s">
        <v>1310</v>
      </c>
      <c r="B620" s="1" t="str">
        <f>"767890807750"</f>
        <v>767890807750</v>
      </c>
      <c r="C620" s="1" t="s">
        <v>1311</v>
      </c>
      <c r="D620" s="2" t="s">
        <v>1305</v>
      </c>
      <c r="E620" s="1" t="s">
        <v>1223</v>
      </c>
      <c r="F620" s="1" t="s">
        <v>1277</v>
      </c>
      <c r="G620" s="1" t="s">
        <v>2418</v>
      </c>
      <c r="H620" s="1" t="s">
        <v>1296</v>
      </c>
      <c r="I620" s="1" t="s">
        <v>2220</v>
      </c>
      <c r="J620" s="1" t="s">
        <v>2844</v>
      </c>
      <c r="K620" s="3">
        <v>281</v>
      </c>
      <c r="L620" s="4">
        <v>90</v>
      </c>
      <c r="M620" s="4">
        <f t="shared" si="9"/>
        <v>25290</v>
      </c>
    </row>
    <row r="621" spans="1:13" ht="15.75" customHeight="1">
      <c r="A621" s="1" t="s">
        <v>1312</v>
      </c>
      <c r="B621" s="1" t="str">
        <f>"767890807781"</f>
        <v>767890807781</v>
      </c>
      <c r="C621" s="1" t="s">
        <v>1313</v>
      </c>
      <c r="D621" s="2" t="s">
        <v>1314</v>
      </c>
      <c r="E621" s="1" t="s">
        <v>1223</v>
      </c>
      <c r="F621" s="1" t="s">
        <v>1315</v>
      </c>
      <c r="G621" s="1" t="s">
        <v>2411</v>
      </c>
      <c r="H621" s="1" t="s">
        <v>1296</v>
      </c>
      <c r="I621" s="1" t="s">
        <v>2220</v>
      </c>
      <c r="J621" s="1" t="s">
        <v>2844</v>
      </c>
      <c r="K621" s="3">
        <v>10</v>
      </c>
      <c r="L621" s="4">
        <v>90</v>
      </c>
      <c r="M621" s="4">
        <f t="shared" si="9"/>
        <v>900</v>
      </c>
    </row>
    <row r="622" spans="1:13" ht="15.75" customHeight="1">
      <c r="A622" s="1" t="s">
        <v>1316</v>
      </c>
      <c r="B622" s="1" t="str">
        <f>"767890807804"</f>
        <v>767890807804</v>
      </c>
      <c r="C622" s="1" t="s">
        <v>1317</v>
      </c>
      <c r="D622" s="2" t="s">
        <v>1314</v>
      </c>
      <c r="E622" s="1" t="s">
        <v>1223</v>
      </c>
      <c r="F622" s="1" t="s">
        <v>1315</v>
      </c>
      <c r="G622" s="1" t="s">
        <v>2418</v>
      </c>
      <c r="H622" s="1" t="s">
        <v>1296</v>
      </c>
      <c r="I622" s="1" t="s">
        <v>2220</v>
      </c>
      <c r="J622" s="1" t="s">
        <v>2844</v>
      </c>
      <c r="K622" s="3">
        <v>48</v>
      </c>
      <c r="L622" s="4">
        <v>90</v>
      </c>
      <c r="M622" s="4">
        <f t="shared" si="9"/>
        <v>4320</v>
      </c>
    </row>
    <row r="623" spans="1:13" ht="15.75" customHeight="1">
      <c r="A623" s="1" t="s">
        <v>1318</v>
      </c>
      <c r="B623" s="1" t="str">
        <f>"888241180633"</f>
        <v>888241180633</v>
      </c>
      <c r="C623" s="1" t="s">
        <v>1319</v>
      </c>
      <c r="D623" s="2" t="s">
        <v>1320</v>
      </c>
      <c r="E623" s="1" t="s">
        <v>1321</v>
      </c>
      <c r="F623" s="1" t="s">
        <v>1322</v>
      </c>
      <c r="G623" s="1" t="s">
        <v>2405</v>
      </c>
      <c r="H623" s="1" t="s">
        <v>1323</v>
      </c>
      <c r="I623" s="1" t="s">
        <v>2220</v>
      </c>
      <c r="J623" s="1" t="s">
        <v>1324</v>
      </c>
      <c r="K623" s="3">
        <v>5</v>
      </c>
      <c r="L623" s="4">
        <v>42</v>
      </c>
      <c r="M623" s="4">
        <f t="shared" si="9"/>
        <v>210</v>
      </c>
    </row>
    <row r="624" spans="1:13" ht="15.75" customHeight="1">
      <c r="A624" s="1" t="s">
        <v>1325</v>
      </c>
      <c r="B624" s="1" t="str">
        <f>"888241180619"</f>
        <v>888241180619</v>
      </c>
      <c r="C624" s="1" t="s">
        <v>1326</v>
      </c>
      <c r="D624" s="2" t="s">
        <v>1320</v>
      </c>
      <c r="E624" s="1" t="s">
        <v>1321</v>
      </c>
      <c r="F624" s="1" t="s">
        <v>1322</v>
      </c>
      <c r="G624" s="1" t="s">
        <v>2211</v>
      </c>
      <c r="H624" s="1" t="s">
        <v>1323</v>
      </c>
      <c r="I624" s="1" t="s">
        <v>2220</v>
      </c>
      <c r="J624" s="1" t="s">
        <v>1324</v>
      </c>
      <c r="K624" s="3">
        <v>44</v>
      </c>
      <c r="L624" s="4">
        <v>42</v>
      </c>
      <c r="M624" s="4">
        <f t="shared" si="9"/>
        <v>1848</v>
      </c>
    </row>
    <row r="625" spans="1:13" ht="15.75" customHeight="1">
      <c r="A625" s="1" t="s">
        <v>1327</v>
      </c>
      <c r="B625" s="1" t="str">
        <f>"888241180626"</f>
        <v>888241180626</v>
      </c>
      <c r="C625" s="1" t="s">
        <v>1328</v>
      </c>
      <c r="D625" s="2" t="s">
        <v>1320</v>
      </c>
      <c r="E625" s="1" t="s">
        <v>1321</v>
      </c>
      <c r="F625" s="1" t="s">
        <v>1322</v>
      </c>
      <c r="G625" s="1" t="s">
        <v>2418</v>
      </c>
      <c r="H625" s="1" t="s">
        <v>1323</v>
      </c>
      <c r="I625" s="1" t="s">
        <v>2220</v>
      </c>
      <c r="J625" s="1" t="s">
        <v>1324</v>
      </c>
      <c r="K625" s="3">
        <v>52</v>
      </c>
      <c r="L625" s="4">
        <v>42</v>
      </c>
      <c r="M625" s="4">
        <f t="shared" si="9"/>
        <v>2184</v>
      </c>
    </row>
    <row r="626" spans="1:13" ht="15.75" customHeight="1">
      <c r="A626" s="1" t="s">
        <v>1329</v>
      </c>
      <c r="B626" s="1" t="str">
        <f>"773389379691"</f>
        <v>773389379691</v>
      </c>
      <c r="C626" s="1" t="s">
        <v>1330</v>
      </c>
      <c r="D626" s="2" t="s">
        <v>1331</v>
      </c>
      <c r="E626" s="1" t="s">
        <v>1332</v>
      </c>
      <c r="F626" s="1" t="s">
        <v>1333</v>
      </c>
      <c r="G626" s="1" t="s">
        <v>2405</v>
      </c>
      <c r="H626" s="1" t="s">
        <v>1334</v>
      </c>
      <c r="I626" s="1" t="s">
        <v>2220</v>
      </c>
      <c r="J626" s="1" t="s">
        <v>2432</v>
      </c>
      <c r="K626" s="3">
        <v>8</v>
      </c>
      <c r="L626" s="4">
        <v>45</v>
      </c>
      <c r="M626" s="4">
        <f t="shared" si="9"/>
        <v>360</v>
      </c>
    </row>
    <row r="627" spans="1:13" ht="15.75" customHeight="1">
      <c r="A627" s="1" t="s">
        <v>1335</v>
      </c>
      <c r="B627" s="1" t="str">
        <f>"773389379677"</f>
        <v>773389379677</v>
      </c>
      <c r="C627" s="1" t="s">
        <v>1336</v>
      </c>
      <c r="D627" s="2" t="s">
        <v>1331</v>
      </c>
      <c r="E627" s="1" t="s">
        <v>1332</v>
      </c>
      <c r="F627" s="1" t="s">
        <v>1333</v>
      </c>
      <c r="G627" s="1" t="s">
        <v>2211</v>
      </c>
      <c r="H627" s="1" t="s">
        <v>1334</v>
      </c>
      <c r="I627" s="1" t="s">
        <v>2220</v>
      </c>
      <c r="J627" s="1" t="s">
        <v>2432</v>
      </c>
      <c r="K627" s="3">
        <v>47</v>
      </c>
      <c r="L627" s="4">
        <v>45</v>
      </c>
      <c r="M627" s="4">
        <f t="shared" si="9"/>
        <v>2115</v>
      </c>
    </row>
    <row r="628" spans="1:13" ht="15.75" customHeight="1">
      <c r="A628" s="1" t="s">
        <v>1337</v>
      </c>
      <c r="B628" s="1" t="str">
        <f>"773389379660"</f>
        <v>773389379660</v>
      </c>
      <c r="C628" s="1" t="s">
        <v>1338</v>
      </c>
      <c r="D628" s="2" t="s">
        <v>1331</v>
      </c>
      <c r="E628" s="1" t="s">
        <v>1332</v>
      </c>
      <c r="F628" s="1" t="s">
        <v>1333</v>
      </c>
      <c r="G628" s="1" t="s">
        <v>2411</v>
      </c>
      <c r="H628" s="1" t="s">
        <v>1334</v>
      </c>
      <c r="I628" s="1" t="s">
        <v>2220</v>
      </c>
      <c r="J628" s="1" t="s">
        <v>2432</v>
      </c>
      <c r="K628" s="3">
        <v>27</v>
      </c>
      <c r="L628" s="4">
        <v>45</v>
      </c>
      <c r="M628" s="4">
        <f t="shared" si="9"/>
        <v>1215</v>
      </c>
    </row>
    <row r="629" spans="1:13" ht="15.75" customHeight="1">
      <c r="A629" s="1" t="s">
        <v>1339</v>
      </c>
      <c r="B629" s="1" t="str">
        <f>"773389379684"</f>
        <v>773389379684</v>
      </c>
      <c r="C629" s="1" t="s">
        <v>1340</v>
      </c>
      <c r="D629" s="2" t="s">
        <v>1331</v>
      </c>
      <c r="E629" s="1" t="s">
        <v>1332</v>
      </c>
      <c r="F629" s="1" t="s">
        <v>1333</v>
      </c>
      <c r="G629" s="1" t="s">
        <v>2418</v>
      </c>
      <c r="H629" s="1" t="s">
        <v>1334</v>
      </c>
      <c r="I629" s="1" t="s">
        <v>2220</v>
      </c>
      <c r="J629" s="1" t="s">
        <v>2432</v>
      </c>
      <c r="K629" s="3">
        <v>49</v>
      </c>
      <c r="L629" s="4">
        <v>45</v>
      </c>
      <c r="M629" s="4">
        <f t="shared" si="9"/>
        <v>2205</v>
      </c>
    </row>
    <row r="630" spans="1:13" ht="15.75" customHeight="1">
      <c r="A630" s="1" t="s">
        <v>1341</v>
      </c>
      <c r="B630" s="1" t="str">
        <f>"773389395752"</f>
        <v>773389395752</v>
      </c>
      <c r="C630" s="1" t="s">
        <v>1342</v>
      </c>
      <c r="D630" s="2" t="s">
        <v>1343</v>
      </c>
      <c r="E630" s="1" t="s">
        <v>1332</v>
      </c>
      <c r="F630" s="1" t="s">
        <v>2210</v>
      </c>
      <c r="G630" s="1" t="s">
        <v>2411</v>
      </c>
      <c r="H630" s="1" t="s">
        <v>1344</v>
      </c>
      <c r="I630" s="1" t="s">
        <v>2220</v>
      </c>
      <c r="J630" s="1" t="s">
        <v>1226</v>
      </c>
      <c r="K630" s="3">
        <v>2</v>
      </c>
      <c r="L630" s="4">
        <v>30</v>
      </c>
      <c r="M630" s="4">
        <f t="shared" si="9"/>
        <v>60</v>
      </c>
    </row>
    <row r="631" spans="1:13" ht="15.75" customHeight="1">
      <c r="A631" s="1" t="s">
        <v>1345</v>
      </c>
      <c r="B631" s="1" t="str">
        <f>"773389395745"</f>
        <v>773389395745</v>
      </c>
      <c r="C631" s="1" t="s">
        <v>1346</v>
      </c>
      <c r="D631" s="2" t="s">
        <v>1343</v>
      </c>
      <c r="E631" s="1" t="s">
        <v>1332</v>
      </c>
      <c r="F631" s="1" t="s">
        <v>2210</v>
      </c>
      <c r="G631" s="1" t="s">
        <v>2219</v>
      </c>
      <c r="H631" s="1" t="s">
        <v>1344</v>
      </c>
      <c r="I631" s="1" t="s">
        <v>2220</v>
      </c>
      <c r="J631" s="1" t="s">
        <v>1226</v>
      </c>
      <c r="K631" s="3">
        <v>1</v>
      </c>
      <c r="L631" s="4">
        <v>30</v>
      </c>
      <c r="M631" s="4">
        <f t="shared" si="9"/>
        <v>30</v>
      </c>
    </row>
    <row r="632" spans="1:13" ht="15.75" customHeight="1">
      <c r="A632" s="1" t="s">
        <v>1347</v>
      </c>
      <c r="B632" s="1" t="str">
        <f>"773389424056"</f>
        <v>773389424056</v>
      </c>
      <c r="C632" s="1" t="s">
        <v>1348</v>
      </c>
      <c r="D632" s="2"/>
      <c r="E632" s="1" t="s">
        <v>1332</v>
      </c>
      <c r="F632" s="1" t="s">
        <v>1349</v>
      </c>
      <c r="G632" s="1" t="s">
        <v>2211</v>
      </c>
      <c r="H632" s="1" t="s">
        <v>1350</v>
      </c>
      <c r="I632" s="1" t="s">
        <v>2220</v>
      </c>
      <c r="J632" s="1" t="s">
        <v>1226</v>
      </c>
      <c r="K632" s="3">
        <v>2</v>
      </c>
      <c r="L632" s="4">
        <v>30</v>
      </c>
      <c r="M632" s="4">
        <f t="shared" si="9"/>
        <v>60</v>
      </c>
    </row>
    <row r="633" spans="1:13" ht="15.75" customHeight="1">
      <c r="A633" s="1" t="s">
        <v>1351</v>
      </c>
      <c r="B633" s="1" t="str">
        <f>"773389424032"</f>
        <v>773389424032</v>
      </c>
      <c r="C633" s="1" t="s">
        <v>1352</v>
      </c>
      <c r="D633" s="2" t="s">
        <v>1353</v>
      </c>
      <c r="E633" s="1" t="s">
        <v>1332</v>
      </c>
      <c r="F633" s="1" t="s">
        <v>1349</v>
      </c>
      <c r="G633" s="1" t="s">
        <v>2219</v>
      </c>
      <c r="H633" s="1" t="s">
        <v>1350</v>
      </c>
      <c r="I633" s="1" t="s">
        <v>2220</v>
      </c>
      <c r="J633" s="1" t="s">
        <v>1226</v>
      </c>
      <c r="K633" s="3">
        <v>19</v>
      </c>
      <c r="L633" s="4">
        <v>30</v>
      </c>
      <c r="M633" s="4">
        <f t="shared" si="9"/>
        <v>570</v>
      </c>
    </row>
    <row r="634" spans="1:13" ht="15.75" customHeight="1">
      <c r="A634" s="1" t="s">
        <v>1354</v>
      </c>
      <c r="B634" s="1" t="str">
        <f>"773389394441"</f>
        <v>773389394441</v>
      </c>
      <c r="C634" s="1" t="s">
        <v>1355</v>
      </c>
      <c r="D634" s="2" t="s">
        <v>1356</v>
      </c>
      <c r="E634" s="1" t="s">
        <v>1332</v>
      </c>
      <c r="F634" s="1" t="s">
        <v>1357</v>
      </c>
      <c r="G634" s="1" t="s">
        <v>2219</v>
      </c>
      <c r="H634" s="1" t="s">
        <v>1358</v>
      </c>
      <c r="I634" s="1" t="s">
        <v>2220</v>
      </c>
      <c r="J634" s="1" t="s">
        <v>1226</v>
      </c>
      <c r="K634" s="3">
        <v>22</v>
      </c>
      <c r="L634" s="4">
        <v>30</v>
      </c>
      <c r="M634" s="4">
        <f t="shared" si="9"/>
        <v>660</v>
      </c>
    </row>
    <row r="635" spans="1:13" ht="15.75" customHeight="1">
      <c r="A635" s="1" t="s">
        <v>1359</v>
      </c>
      <c r="B635" s="1" t="str">
        <f>"773389405604"</f>
        <v>773389405604</v>
      </c>
      <c r="C635" s="1" t="s">
        <v>1360</v>
      </c>
      <c r="D635" s="2" t="s">
        <v>1361</v>
      </c>
      <c r="E635" s="1" t="s">
        <v>1332</v>
      </c>
      <c r="F635" s="1" t="s">
        <v>1362</v>
      </c>
      <c r="G635" s="1" t="s">
        <v>2411</v>
      </c>
      <c r="H635" s="1" t="s">
        <v>1358</v>
      </c>
      <c r="I635" s="1" t="s">
        <v>2220</v>
      </c>
      <c r="J635" s="1" t="s">
        <v>1226</v>
      </c>
      <c r="K635" s="3">
        <v>89</v>
      </c>
      <c r="L635" s="4">
        <v>30</v>
      </c>
      <c r="M635" s="4">
        <f t="shared" si="9"/>
        <v>2670</v>
      </c>
    </row>
    <row r="636" spans="1:13" ht="15.75" customHeight="1">
      <c r="A636" s="1" t="s">
        <v>1363</v>
      </c>
      <c r="B636" s="1" t="str">
        <f>"773389405598"</f>
        <v>773389405598</v>
      </c>
      <c r="C636" s="1" t="s">
        <v>1364</v>
      </c>
      <c r="D636" s="2" t="s">
        <v>1361</v>
      </c>
      <c r="E636" s="1" t="s">
        <v>1332</v>
      </c>
      <c r="F636" s="1" t="s">
        <v>1362</v>
      </c>
      <c r="G636" s="1" t="s">
        <v>2219</v>
      </c>
      <c r="H636" s="1" t="s">
        <v>1358</v>
      </c>
      <c r="I636" s="1" t="s">
        <v>2220</v>
      </c>
      <c r="J636" s="1" t="s">
        <v>1226</v>
      </c>
      <c r="K636" s="3">
        <v>76</v>
      </c>
      <c r="L636" s="4">
        <v>30</v>
      </c>
      <c r="M636" s="4">
        <f t="shared" si="9"/>
        <v>2280</v>
      </c>
    </row>
    <row r="637" spans="1:13" ht="15.75" customHeight="1">
      <c r="A637" s="1" t="s">
        <v>1365</v>
      </c>
      <c r="B637" s="1" t="str">
        <f>"773389394229"</f>
        <v>773389394229</v>
      </c>
      <c r="C637" s="1" t="s">
        <v>1366</v>
      </c>
      <c r="D637" s="2" t="s">
        <v>1367</v>
      </c>
      <c r="E637" s="1" t="s">
        <v>1332</v>
      </c>
      <c r="F637" s="1" t="s">
        <v>1368</v>
      </c>
      <c r="G637" s="1" t="s">
        <v>2411</v>
      </c>
      <c r="H637" s="1" t="s">
        <v>1358</v>
      </c>
      <c r="I637" s="1" t="s">
        <v>2220</v>
      </c>
      <c r="J637" s="1" t="s">
        <v>1226</v>
      </c>
      <c r="K637" s="3">
        <v>1</v>
      </c>
      <c r="L637" s="4">
        <v>30</v>
      </c>
      <c r="M637" s="4">
        <f t="shared" si="9"/>
        <v>30</v>
      </c>
    </row>
    <row r="638" spans="1:13" ht="15.75" customHeight="1">
      <c r="A638" s="1" t="s">
        <v>1369</v>
      </c>
      <c r="B638" s="1" t="str">
        <f>"773389394489"</f>
        <v>773389394489</v>
      </c>
      <c r="C638" s="1" t="s">
        <v>1370</v>
      </c>
      <c r="D638" s="2" t="s">
        <v>1367</v>
      </c>
      <c r="E638" s="1" t="s">
        <v>1332</v>
      </c>
      <c r="F638" s="1" t="s">
        <v>1368</v>
      </c>
      <c r="G638" s="1" t="s">
        <v>2219</v>
      </c>
      <c r="H638" s="1" t="s">
        <v>1358</v>
      </c>
      <c r="I638" s="1" t="s">
        <v>2220</v>
      </c>
      <c r="J638" s="1" t="s">
        <v>1226</v>
      </c>
      <c r="K638" s="3">
        <v>54</v>
      </c>
      <c r="L638" s="4">
        <v>30</v>
      </c>
      <c r="M638" s="4">
        <f t="shared" si="9"/>
        <v>1620</v>
      </c>
    </row>
    <row r="639" spans="1:13" ht="15.75" customHeight="1">
      <c r="A639" s="1" t="s">
        <v>1371</v>
      </c>
      <c r="B639" s="1" t="str">
        <f>"191798104848"</f>
        <v>191798104848</v>
      </c>
      <c r="C639" s="1" t="s">
        <v>1372</v>
      </c>
      <c r="D639" s="2" t="s">
        <v>1373</v>
      </c>
      <c r="E639" s="1" t="s">
        <v>1374</v>
      </c>
      <c r="F639" s="1" t="s">
        <v>1375</v>
      </c>
      <c r="G639" s="1" t="s">
        <v>2411</v>
      </c>
      <c r="H639" s="1" t="s">
        <v>1376</v>
      </c>
      <c r="I639" s="1" t="s">
        <v>2220</v>
      </c>
      <c r="J639" s="1" t="s">
        <v>2432</v>
      </c>
      <c r="K639" s="3">
        <v>13</v>
      </c>
      <c r="L639" s="4">
        <v>54.99</v>
      </c>
      <c r="M639" s="4">
        <f t="shared" si="9"/>
        <v>714.87</v>
      </c>
    </row>
    <row r="640" spans="1:13" ht="15.75" customHeight="1">
      <c r="A640" s="1" t="s">
        <v>1377</v>
      </c>
      <c r="B640" s="1" t="str">
        <f>"191798104831"</f>
        <v>191798104831</v>
      </c>
      <c r="C640" s="1" t="s">
        <v>1378</v>
      </c>
      <c r="D640" s="2" t="s">
        <v>1373</v>
      </c>
      <c r="E640" s="1" t="s">
        <v>1374</v>
      </c>
      <c r="F640" s="1" t="s">
        <v>1375</v>
      </c>
      <c r="G640" s="1" t="s">
        <v>2219</v>
      </c>
      <c r="H640" s="1" t="s">
        <v>1376</v>
      </c>
      <c r="I640" s="1" t="s">
        <v>2220</v>
      </c>
      <c r="J640" s="1" t="s">
        <v>2432</v>
      </c>
      <c r="K640" s="3">
        <v>7</v>
      </c>
      <c r="L640" s="4">
        <v>54.99</v>
      </c>
      <c r="M640" s="4">
        <f t="shared" si="9"/>
        <v>384.93</v>
      </c>
    </row>
    <row r="641" spans="1:13" ht="15.75" customHeight="1">
      <c r="A641" s="1" t="s">
        <v>1379</v>
      </c>
      <c r="B641" s="1" t="str">
        <f>"191798113147"</f>
        <v>191798113147</v>
      </c>
      <c r="C641" s="1" t="s">
        <v>1380</v>
      </c>
      <c r="D641" s="2" t="s">
        <v>1381</v>
      </c>
      <c r="E641" s="1" t="s">
        <v>1374</v>
      </c>
      <c r="F641" s="1" t="s">
        <v>1382</v>
      </c>
      <c r="G641" s="1" t="s">
        <v>2411</v>
      </c>
      <c r="H641" s="1" t="s">
        <v>1383</v>
      </c>
      <c r="I641" s="1" t="s">
        <v>2220</v>
      </c>
      <c r="J641" s="1" t="s">
        <v>2428</v>
      </c>
      <c r="K641" s="3">
        <v>3</v>
      </c>
      <c r="L641" s="4">
        <v>52</v>
      </c>
      <c r="M641" s="4">
        <f t="shared" si="9"/>
        <v>156</v>
      </c>
    </row>
    <row r="642" spans="1:13" ht="15.75" customHeight="1">
      <c r="A642" s="1" t="s">
        <v>1384</v>
      </c>
      <c r="B642" s="1" t="str">
        <f>"191798113130"</f>
        <v>191798113130</v>
      </c>
      <c r="C642" s="1" t="s">
        <v>1385</v>
      </c>
      <c r="D642" s="2" t="s">
        <v>1381</v>
      </c>
      <c r="E642" s="1" t="s">
        <v>1374</v>
      </c>
      <c r="F642" s="1" t="s">
        <v>1382</v>
      </c>
      <c r="G642" s="1" t="s">
        <v>2219</v>
      </c>
      <c r="H642" s="1" t="s">
        <v>1383</v>
      </c>
      <c r="I642" s="1" t="s">
        <v>2220</v>
      </c>
      <c r="J642" s="1" t="s">
        <v>2428</v>
      </c>
      <c r="K642" s="3">
        <v>4</v>
      </c>
      <c r="L642" s="4">
        <v>52</v>
      </c>
      <c r="M642" s="4">
        <f t="shared" ref="M642:M705" si="10">L642*K642</f>
        <v>208</v>
      </c>
    </row>
    <row r="643" spans="1:13" ht="15.75" customHeight="1">
      <c r="A643" s="1" t="s">
        <v>1386</v>
      </c>
      <c r="B643" s="1" t="str">
        <f>"191798113703"</f>
        <v>191798113703</v>
      </c>
      <c r="C643" s="1" t="s">
        <v>1387</v>
      </c>
      <c r="D643" s="2" t="s">
        <v>1388</v>
      </c>
      <c r="E643" s="1" t="s">
        <v>1374</v>
      </c>
      <c r="F643" s="1" t="s">
        <v>1389</v>
      </c>
      <c r="G643" s="1" t="str">
        <f>"34"</f>
        <v>34</v>
      </c>
      <c r="H643" s="1" t="s">
        <v>1390</v>
      </c>
      <c r="I643" s="1" t="s">
        <v>2220</v>
      </c>
      <c r="J643" s="1" t="s">
        <v>2221</v>
      </c>
      <c r="K643" s="3">
        <v>11</v>
      </c>
      <c r="L643" s="4">
        <v>52</v>
      </c>
      <c r="M643" s="4">
        <f t="shared" si="10"/>
        <v>572</v>
      </c>
    </row>
    <row r="644" spans="1:13" ht="15.75" customHeight="1">
      <c r="A644" s="1" t="s">
        <v>1391</v>
      </c>
      <c r="B644" s="1" t="str">
        <f>"191798113710"</f>
        <v>191798113710</v>
      </c>
      <c r="C644" s="1" t="s">
        <v>1392</v>
      </c>
      <c r="D644" s="2" t="s">
        <v>1388</v>
      </c>
      <c r="E644" s="1" t="s">
        <v>1374</v>
      </c>
      <c r="F644" s="1" t="s">
        <v>1389</v>
      </c>
      <c r="G644" s="1" t="str">
        <f>"36"</f>
        <v>36</v>
      </c>
      <c r="H644" s="1" t="s">
        <v>1390</v>
      </c>
      <c r="I644" s="1" t="s">
        <v>2220</v>
      </c>
      <c r="J644" s="1" t="s">
        <v>2221</v>
      </c>
      <c r="K644" s="3">
        <v>26</v>
      </c>
      <c r="L644" s="4">
        <v>52</v>
      </c>
      <c r="M644" s="4">
        <f t="shared" si="10"/>
        <v>1352</v>
      </c>
    </row>
    <row r="645" spans="1:13" ht="15.75" customHeight="1">
      <c r="A645" s="1" t="s">
        <v>1393</v>
      </c>
      <c r="B645" s="1" t="str">
        <f>"191798113727"</f>
        <v>191798113727</v>
      </c>
      <c r="C645" s="1" t="s">
        <v>1394</v>
      </c>
      <c r="D645" s="2" t="s">
        <v>1388</v>
      </c>
      <c r="E645" s="1" t="s">
        <v>1374</v>
      </c>
      <c r="F645" s="1" t="s">
        <v>1389</v>
      </c>
      <c r="G645" s="1" t="str">
        <f>"38"</f>
        <v>38</v>
      </c>
      <c r="H645" s="1" t="s">
        <v>1390</v>
      </c>
      <c r="I645" s="1" t="s">
        <v>2220</v>
      </c>
      <c r="J645" s="1" t="s">
        <v>2221</v>
      </c>
      <c r="K645" s="3">
        <v>45</v>
      </c>
      <c r="L645" s="4">
        <v>52</v>
      </c>
      <c r="M645" s="4">
        <f t="shared" si="10"/>
        <v>2340</v>
      </c>
    </row>
    <row r="646" spans="1:13" ht="15.75" customHeight="1">
      <c r="A646" s="1" t="s">
        <v>1395</v>
      </c>
      <c r="B646" s="1" t="str">
        <f>"191798113734"</f>
        <v>191798113734</v>
      </c>
      <c r="C646" s="1" t="s">
        <v>1396</v>
      </c>
      <c r="D646" s="2" t="s">
        <v>1388</v>
      </c>
      <c r="E646" s="1" t="s">
        <v>1374</v>
      </c>
      <c r="F646" s="1" t="s">
        <v>1389</v>
      </c>
      <c r="G646" s="1" t="str">
        <f>"40"</f>
        <v>40</v>
      </c>
      <c r="H646" s="1" t="s">
        <v>1390</v>
      </c>
      <c r="I646" s="1" t="s">
        <v>2220</v>
      </c>
      <c r="J646" s="1" t="s">
        <v>2221</v>
      </c>
      <c r="K646" s="3">
        <v>11</v>
      </c>
      <c r="L646" s="4">
        <v>52</v>
      </c>
      <c r="M646" s="4">
        <f t="shared" si="10"/>
        <v>572</v>
      </c>
    </row>
    <row r="647" spans="1:13" ht="15.75" customHeight="1">
      <c r="A647" s="1" t="s">
        <v>1397</v>
      </c>
      <c r="B647" s="1" t="str">
        <f>"191798113802"</f>
        <v>191798113802</v>
      </c>
      <c r="C647" s="1" t="s">
        <v>1398</v>
      </c>
      <c r="D647" s="2" t="s">
        <v>1399</v>
      </c>
      <c r="E647" s="1" t="s">
        <v>1374</v>
      </c>
      <c r="F647" s="1" t="s">
        <v>1400</v>
      </c>
      <c r="G647" s="1" t="str">
        <f>"34"</f>
        <v>34</v>
      </c>
      <c r="H647" s="1" t="s">
        <v>1401</v>
      </c>
      <c r="I647" s="1" t="s">
        <v>2220</v>
      </c>
      <c r="J647" s="1" t="s">
        <v>2221</v>
      </c>
      <c r="K647" s="3">
        <v>7</v>
      </c>
      <c r="L647" s="4">
        <v>52</v>
      </c>
      <c r="M647" s="4">
        <f t="shared" si="10"/>
        <v>364</v>
      </c>
    </row>
    <row r="648" spans="1:13" ht="15.75" customHeight="1">
      <c r="A648" s="1" t="s">
        <v>1402</v>
      </c>
      <c r="B648" s="1" t="str">
        <f>"191798113819"</f>
        <v>191798113819</v>
      </c>
      <c r="C648" s="1" t="s">
        <v>1403</v>
      </c>
      <c r="D648" s="2" t="s">
        <v>1399</v>
      </c>
      <c r="E648" s="1" t="s">
        <v>1374</v>
      </c>
      <c r="F648" s="1" t="s">
        <v>1400</v>
      </c>
      <c r="G648" s="1" t="str">
        <f>"36"</f>
        <v>36</v>
      </c>
      <c r="H648" s="1" t="s">
        <v>1401</v>
      </c>
      <c r="I648" s="1" t="s">
        <v>2220</v>
      </c>
      <c r="J648" s="1" t="s">
        <v>2221</v>
      </c>
      <c r="K648" s="3">
        <v>36</v>
      </c>
      <c r="L648" s="4">
        <v>52</v>
      </c>
      <c r="M648" s="4">
        <f t="shared" si="10"/>
        <v>1872</v>
      </c>
    </row>
    <row r="649" spans="1:13" ht="15.75" customHeight="1">
      <c r="A649" s="1" t="s">
        <v>1404</v>
      </c>
      <c r="B649" s="1" t="str">
        <f>"191798113826"</f>
        <v>191798113826</v>
      </c>
      <c r="C649" s="1" t="s">
        <v>1405</v>
      </c>
      <c r="D649" s="2" t="s">
        <v>1399</v>
      </c>
      <c r="E649" s="1" t="s">
        <v>1374</v>
      </c>
      <c r="F649" s="1" t="s">
        <v>1400</v>
      </c>
      <c r="G649" s="1" t="str">
        <f>"38"</f>
        <v>38</v>
      </c>
      <c r="H649" s="1" t="s">
        <v>1401</v>
      </c>
      <c r="I649" s="1" t="s">
        <v>2220</v>
      </c>
      <c r="J649" s="1" t="s">
        <v>2221</v>
      </c>
      <c r="K649" s="3">
        <v>48</v>
      </c>
      <c r="L649" s="4">
        <v>52</v>
      </c>
      <c r="M649" s="4">
        <f t="shared" si="10"/>
        <v>2496</v>
      </c>
    </row>
    <row r="650" spans="1:13" ht="15.75" customHeight="1">
      <c r="A650" s="1" t="s">
        <v>1406</v>
      </c>
      <c r="B650" s="1" t="str">
        <f>"191798113833"</f>
        <v>191798113833</v>
      </c>
      <c r="C650" s="1" t="s">
        <v>1407</v>
      </c>
      <c r="D650" s="2" t="s">
        <v>1399</v>
      </c>
      <c r="E650" s="1" t="s">
        <v>1374</v>
      </c>
      <c r="F650" s="1" t="s">
        <v>1400</v>
      </c>
      <c r="G650" s="1" t="str">
        <f>"40"</f>
        <v>40</v>
      </c>
      <c r="H650" s="1" t="s">
        <v>1401</v>
      </c>
      <c r="I650" s="1" t="s">
        <v>2220</v>
      </c>
      <c r="J650" s="1" t="s">
        <v>2221</v>
      </c>
      <c r="K650" s="3">
        <v>9</v>
      </c>
      <c r="L650" s="4">
        <v>52</v>
      </c>
      <c r="M650" s="4">
        <f t="shared" si="10"/>
        <v>468</v>
      </c>
    </row>
    <row r="651" spans="1:13" ht="15.75" customHeight="1">
      <c r="A651" s="1" t="s">
        <v>1408</v>
      </c>
      <c r="B651" s="1" t="str">
        <f>"191798112935"</f>
        <v>191798112935</v>
      </c>
      <c r="C651" s="1" t="s">
        <v>1409</v>
      </c>
      <c r="D651" s="2" t="s">
        <v>1410</v>
      </c>
      <c r="E651" s="1" t="s">
        <v>1374</v>
      </c>
      <c r="F651" s="1" t="s">
        <v>1411</v>
      </c>
      <c r="G651" s="1" t="s">
        <v>2211</v>
      </c>
      <c r="H651" s="1" t="s">
        <v>1412</v>
      </c>
      <c r="I651" s="1" t="s">
        <v>2220</v>
      </c>
      <c r="J651" s="1" t="s">
        <v>2428</v>
      </c>
      <c r="K651" s="3">
        <v>3</v>
      </c>
      <c r="L651" s="4">
        <v>52</v>
      </c>
      <c r="M651" s="4">
        <f t="shared" si="10"/>
        <v>156</v>
      </c>
    </row>
    <row r="652" spans="1:13" ht="15.75" customHeight="1">
      <c r="A652" s="1" t="s">
        <v>1413</v>
      </c>
      <c r="B652" s="1" t="str">
        <f>"191798112928"</f>
        <v>191798112928</v>
      </c>
      <c r="C652" s="1" t="s">
        <v>1414</v>
      </c>
      <c r="D652" s="2" t="s">
        <v>1410</v>
      </c>
      <c r="E652" s="1" t="s">
        <v>1374</v>
      </c>
      <c r="F652" s="1" t="s">
        <v>1411</v>
      </c>
      <c r="G652" s="1" t="s">
        <v>2411</v>
      </c>
      <c r="H652" s="1" t="s">
        <v>1412</v>
      </c>
      <c r="I652" s="1" t="s">
        <v>2220</v>
      </c>
      <c r="J652" s="1" t="s">
        <v>2428</v>
      </c>
      <c r="K652" s="3">
        <v>5</v>
      </c>
      <c r="L652" s="4">
        <v>52</v>
      </c>
      <c r="M652" s="4">
        <f t="shared" si="10"/>
        <v>260</v>
      </c>
    </row>
    <row r="653" spans="1:13" ht="15.75" customHeight="1">
      <c r="A653" s="1" t="s">
        <v>1415</v>
      </c>
      <c r="B653" s="1" t="str">
        <f>"191798785276"</f>
        <v>191798785276</v>
      </c>
      <c r="C653" s="1" t="s">
        <v>1416</v>
      </c>
      <c r="D653" s="2" t="s">
        <v>1417</v>
      </c>
      <c r="E653" s="1" t="s">
        <v>1374</v>
      </c>
      <c r="F653" s="1" t="s">
        <v>1418</v>
      </c>
      <c r="G653" s="1" t="s">
        <v>2219</v>
      </c>
      <c r="H653" s="1" t="s">
        <v>1419</v>
      </c>
      <c r="I653" s="1" t="s">
        <v>2257</v>
      </c>
      <c r="J653" s="1" t="s">
        <v>2235</v>
      </c>
      <c r="K653" s="3">
        <v>12</v>
      </c>
      <c r="L653" s="4">
        <v>69.989999999999995</v>
      </c>
      <c r="M653" s="4">
        <f t="shared" si="10"/>
        <v>839.87999999999988</v>
      </c>
    </row>
    <row r="654" spans="1:13" ht="15.75" customHeight="1">
      <c r="A654" s="1" t="s">
        <v>1420</v>
      </c>
      <c r="B654" s="1" t="str">
        <f>"191798785269"</f>
        <v>191798785269</v>
      </c>
      <c r="C654" s="1" t="s">
        <v>1421</v>
      </c>
      <c r="D654" s="2" t="s">
        <v>1417</v>
      </c>
      <c r="E654" s="1" t="s">
        <v>1374</v>
      </c>
      <c r="F654" s="1" t="s">
        <v>1418</v>
      </c>
      <c r="G654" s="1" t="s">
        <v>2422</v>
      </c>
      <c r="H654" s="1" t="s">
        <v>1419</v>
      </c>
      <c r="I654" s="1" t="s">
        <v>2257</v>
      </c>
      <c r="J654" s="1" t="s">
        <v>2235</v>
      </c>
      <c r="K654" s="3">
        <v>16</v>
      </c>
      <c r="L654" s="4">
        <v>69.989999999999995</v>
      </c>
      <c r="M654" s="4">
        <f t="shared" si="10"/>
        <v>1119.8399999999999</v>
      </c>
    </row>
    <row r="655" spans="1:13" ht="15.75" customHeight="1">
      <c r="A655" s="1" t="s">
        <v>1422</v>
      </c>
      <c r="B655" s="1" t="str">
        <f>"191798785238"</f>
        <v>191798785238</v>
      </c>
      <c r="C655" s="1" t="s">
        <v>1423</v>
      </c>
      <c r="D655" s="2" t="s">
        <v>1424</v>
      </c>
      <c r="E655" s="1" t="s">
        <v>1374</v>
      </c>
      <c r="F655" s="1" t="s">
        <v>1400</v>
      </c>
      <c r="G655" s="1" t="s">
        <v>2411</v>
      </c>
      <c r="H655" s="1" t="s">
        <v>1419</v>
      </c>
      <c r="I655" s="1" t="s">
        <v>2257</v>
      </c>
      <c r="J655" s="1" t="s">
        <v>2235</v>
      </c>
      <c r="K655" s="3">
        <v>3</v>
      </c>
      <c r="L655" s="4">
        <v>69.989999999999995</v>
      </c>
      <c r="M655" s="4">
        <f t="shared" si="10"/>
        <v>209.96999999999997</v>
      </c>
    </row>
    <row r="656" spans="1:13" ht="15.75" customHeight="1">
      <c r="A656" s="1" t="s">
        <v>1425</v>
      </c>
      <c r="B656" s="1" t="str">
        <f>"191798785221"</f>
        <v>191798785221</v>
      </c>
      <c r="C656" s="1" t="s">
        <v>1426</v>
      </c>
      <c r="D656" s="2" t="s">
        <v>1424</v>
      </c>
      <c r="E656" s="1" t="s">
        <v>1374</v>
      </c>
      <c r="F656" s="1" t="s">
        <v>1400</v>
      </c>
      <c r="G656" s="1" t="s">
        <v>2219</v>
      </c>
      <c r="H656" s="1" t="s">
        <v>1419</v>
      </c>
      <c r="I656" s="1" t="s">
        <v>2257</v>
      </c>
      <c r="J656" s="1" t="s">
        <v>2235</v>
      </c>
      <c r="K656" s="3">
        <v>9</v>
      </c>
      <c r="L656" s="4">
        <v>69.989999999999995</v>
      </c>
      <c r="M656" s="4">
        <f t="shared" si="10"/>
        <v>629.91</v>
      </c>
    </row>
    <row r="657" spans="1:13" ht="15.75" customHeight="1">
      <c r="A657" s="1" t="s">
        <v>1427</v>
      </c>
      <c r="B657" s="1" t="str">
        <f>"191798785214"</f>
        <v>191798785214</v>
      </c>
      <c r="C657" s="1" t="s">
        <v>1428</v>
      </c>
      <c r="D657" s="2" t="s">
        <v>1424</v>
      </c>
      <c r="E657" s="1" t="s">
        <v>1374</v>
      </c>
      <c r="F657" s="1" t="s">
        <v>1400</v>
      </c>
      <c r="G657" s="1" t="s">
        <v>2422</v>
      </c>
      <c r="H657" s="1" t="s">
        <v>1419</v>
      </c>
      <c r="I657" s="1" t="s">
        <v>2257</v>
      </c>
      <c r="J657" s="1" t="s">
        <v>2235</v>
      </c>
      <c r="K657" s="3">
        <v>9</v>
      </c>
      <c r="L657" s="4">
        <v>69.989999999999995</v>
      </c>
      <c r="M657" s="4">
        <f t="shared" si="10"/>
        <v>629.91</v>
      </c>
    </row>
    <row r="658" spans="1:13" ht="15.75" customHeight="1">
      <c r="A658" s="1" t="s">
        <v>1429</v>
      </c>
      <c r="B658" s="1" t="str">
        <f>"033977384644"</f>
        <v>033977384644</v>
      </c>
      <c r="C658" s="1" t="s">
        <v>1430</v>
      </c>
      <c r="D658" s="2" t="s">
        <v>1431</v>
      </c>
      <c r="E658" s="1" t="s">
        <v>1432</v>
      </c>
      <c r="F658" s="1" t="s">
        <v>2210</v>
      </c>
      <c r="G658" s="1" t="str">
        <f>"10"</f>
        <v>10</v>
      </c>
      <c r="H658" s="1"/>
      <c r="I658" s="1" t="s">
        <v>2257</v>
      </c>
      <c r="J658" s="1" t="s">
        <v>2230</v>
      </c>
      <c r="K658" s="3">
        <v>33</v>
      </c>
      <c r="L658" s="4">
        <v>39.99</v>
      </c>
      <c r="M658" s="4">
        <f t="shared" si="10"/>
        <v>1319.67</v>
      </c>
    </row>
    <row r="659" spans="1:13" ht="15.75" customHeight="1">
      <c r="A659" s="1" t="s">
        <v>1433</v>
      </c>
      <c r="B659" s="1" t="str">
        <f>"033977384651"</f>
        <v>033977384651</v>
      </c>
      <c r="C659" s="1" t="s">
        <v>1434</v>
      </c>
      <c r="D659" s="2" t="s">
        <v>1431</v>
      </c>
      <c r="E659" s="1" t="s">
        <v>1432</v>
      </c>
      <c r="F659" s="1" t="s">
        <v>2210</v>
      </c>
      <c r="G659" s="1" t="str">
        <f>"11"</f>
        <v>11</v>
      </c>
      <c r="H659" s="1"/>
      <c r="I659" s="1" t="s">
        <v>2257</v>
      </c>
      <c r="J659" s="1" t="s">
        <v>2230</v>
      </c>
      <c r="K659" s="3">
        <v>201</v>
      </c>
      <c r="L659" s="4">
        <v>39.99</v>
      </c>
      <c r="M659" s="4">
        <f t="shared" si="10"/>
        <v>8037.9900000000007</v>
      </c>
    </row>
    <row r="660" spans="1:13" ht="15.75" customHeight="1">
      <c r="A660" s="1" t="s">
        <v>1435</v>
      </c>
      <c r="B660" s="1" t="str">
        <f>"33977567467"</f>
        <v>33977567467</v>
      </c>
      <c r="C660" s="1" t="s">
        <v>1436</v>
      </c>
      <c r="D660" s="2" t="s">
        <v>1437</v>
      </c>
      <c r="E660" s="1" t="s">
        <v>1432</v>
      </c>
      <c r="F660" s="1" t="s">
        <v>2210</v>
      </c>
      <c r="G660" s="1" t="str">
        <f>"7"</f>
        <v>7</v>
      </c>
      <c r="H660" s="1" t="str">
        <f>"1000203001"</f>
        <v>1000203001</v>
      </c>
      <c r="I660" s="1" t="s">
        <v>2257</v>
      </c>
      <c r="J660" s="1" t="s">
        <v>2230</v>
      </c>
      <c r="K660" s="3">
        <v>11</v>
      </c>
      <c r="L660" s="4">
        <v>79.989999999999995</v>
      </c>
      <c r="M660" s="4">
        <f t="shared" si="10"/>
        <v>879.89</v>
      </c>
    </row>
    <row r="661" spans="1:13" ht="15.75" customHeight="1">
      <c r="A661" s="1" t="s">
        <v>1438</v>
      </c>
      <c r="B661" s="1" t="str">
        <f>"33977567481"</f>
        <v>33977567481</v>
      </c>
      <c r="C661" s="1" t="s">
        <v>1439</v>
      </c>
      <c r="D661" s="2" t="s">
        <v>1437</v>
      </c>
      <c r="E661" s="1" t="s">
        <v>1432</v>
      </c>
      <c r="F661" s="1" t="s">
        <v>2210</v>
      </c>
      <c r="G661" s="1" t="str">
        <f>"8"</f>
        <v>8</v>
      </c>
      <c r="H661" s="1" t="str">
        <f>"1000203001"</f>
        <v>1000203001</v>
      </c>
      <c r="I661" s="1" t="s">
        <v>2257</v>
      </c>
      <c r="J661" s="1" t="s">
        <v>2230</v>
      </c>
      <c r="K661" s="3">
        <v>19</v>
      </c>
      <c r="L661" s="4">
        <v>79.989999999999995</v>
      </c>
      <c r="M661" s="4">
        <f t="shared" si="10"/>
        <v>1519.81</v>
      </c>
    </row>
    <row r="662" spans="1:13" ht="15.75" customHeight="1">
      <c r="A662" s="1" t="s">
        <v>1440</v>
      </c>
      <c r="B662" s="1" t="str">
        <f>"33977567504"</f>
        <v>33977567504</v>
      </c>
      <c r="C662" s="1" t="s">
        <v>1441</v>
      </c>
      <c r="D662" s="2" t="s">
        <v>1437</v>
      </c>
      <c r="E662" s="1" t="s">
        <v>1432</v>
      </c>
      <c r="F662" s="1" t="s">
        <v>2210</v>
      </c>
      <c r="G662" s="1" t="str">
        <f>"9"</f>
        <v>9</v>
      </c>
      <c r="H662" s="1" t="str">
        <f>"1000203001"</f>
        <v>1000203001</v>
      </c>
      <c r="I662" s="1" t="s">
        <v>2257</v>
      </c>
      <c r="J662" s="1" t="s">
        <v>2230</v>
      </c>
      <c r="K662" s="3">
        <v>6</v>
      </c>
      <c r="L662" s="4">
        <v>79.989999999999995</v>
      </c>
      <c r="M662" s="4">
        <f t="shared" si="10"/>
        <v>479.93999999999994</v>
      </c>
    </row>
    <row r="663" spans="1:13" ht="15.75" customHeight="1">
      <c r="A663" s="1" t="s">
        <v>1442</v>
      </c>
      <c r="B663" s="1" t="str">
        <f>"033977473515"</f>
        <v>033977473515</v>
      </c>
      <c r="C663" s="1" t="s">
        <v>1443</v>
      </c>
      <c r="D663" s="2" t="s">
        <v>1444</v>
      </c>
      <c r="E663" s="1" t="s">
        <v>1432</v>
      </c>
      <c r="F663" s="1" t="s">
        <v>2210</v>
      </c>
      <c r="G663" s="1" t="str">
        <f>"11"</f>
        <v>11</v>
      </c>
      <c r="H663" s="1" t="str">
        <f>"1200167001"</f>
        <v>1200167001</v>
      </c>
      <c r="I663" s="1" t="s">
        <v>2257</v>
      </c>
      <c r="J663" s="1" t="s">
        <v>2230</v>
      </c>
      <c r="K663" s="3">
        <v>8</v>
      </c>
      <c r="L663" s="4">
        <v>49.99</v>
      </c>
      <c r="M663" s="4">
        <f t="shared" si="10"/>
        <v>399.92</v>
      </c>
    </row>
    <row r="664" spans="1:13" ht="15.75" customHeight="1">
      <c r="A664" s="1" t="s">
        <v>1445</v>
      </c>
      <c r="B664" s="1" t="str">
        <f>"033977473560"</f>
        <v>033977473560</v>
      </c>
      <c r="C664" s="1" t="s">
        <v>1446</v>
      </c>
      <c r="D664" s="2" t="s">
        <v>1447</v>
      </c>
      <c r="E664" s="1" t="s">
        <v>1432</v>
      </c>
      <c r="F664" s="1" t="s">
        <v>2516</v>
      </c>
      <c r="G664" s="1" t="str">
        <f>"10"</f>
        <v>10</v>
      </c>
      <c r="H664" s="1" t="str">
        <f>"1200167100"</f>
        <v>1200167100</v>
      </c>
      <c r="I664" s="1" t="s">
        <v>2257</v>
      </c>
      <c r="J664" s="1" t="s">
        <v>2230</v>
      </c>
      <c r="K664" s="3">
        <v>24</v>
      </c>
      <c r="L664" s="4">
        <v>49.99</v>
      </c>
      <c r="M664" s="4">
        <f t="shared" si="10"/>
        <v>1199.76</v>
      </c>
    </row>
    <row r="665" spans="1:13" ht="15.75" customHeight="1">
      <c r="A665" s="1" t="s">
        <v>1448</v>
      </c>
      <c r="B665" s="1" t="str">
        <f>"033977473577"</f>
        <v>033977473577</v>
      </c>
      <c r="C665" s="1" t="s">
        <v>1449</v>
      </c>
      <c r="D665" s="2" t="s">
        <v>1447</v>
      </c>
      <c r="E665" s="1" t="s">
        <v>1432</v>
      </c>
      <c r="F665" s="1" t="s">
        <v>2516</v>
      </c>
      <c r="G665" s="1" t="str">
        <f>"11"</f>
        <v>11</v>
      </c>
      <c r="H665" s="1" t="str">
        <f>"1200167100"</f>
        <v>1200167100</v>
      </c>
      <c r="I665" s="1" t="s">
        <v>2257</v>
      </c>
      <c r="J665" s="1" t="s">
        <v>2230</v>
      </c>
      <c r="K665" s="3">
        <v>63</v>
      </c>
      <c r="L665" s="4">
        <v>49.99</v>
      </c>
      <c r="M665" s="4">
        <f t="shared" si="10"/>
        <v>3149.3700000000003</v>
      </c>
    </row>
    <row r="666" spans="1:13" ht="15.75" customHeight="1">
      <c r="A666" s="1" t="s">
        <v>1450</v>
      </c>
      <c r="B666" s="1" t="str">
        <f>"033977473140"</f>
        <v>033977473140</v>
      </c>
      <c r="C666" s="1" t="s">
        <v>1451</v>
      </c>
      <c r="D666" s="2" t="s">
        <v>1452</v>
      </c>
      <c r="E666" s="1" t="s">
        <v>1432</v>
      </c>
      <c r="F666" s="1" t="s">
        <v>2516</v>
      </c>
      <c r="G666" s="1" t="str">
        <f>"10"</f>
        <v>10</v>
      </c>
      <c r="H666" s="1" t="str">
        <f>"1200164100"</f>
        <v>1200164100</v>
      </c>
      <c r="I666" s="1" t="s">
        <v>2257</v>
      </c>
      <c r="J666" s="1" t="s">
        <v>2230</v>
      </c>
      <c r="K666" s="3">
        <v>1</v>
      </c>
      <c r="L666" s="4">
        <v>49.99</v>
      </c>
      <c r="M666" s="4">
        <f t="shared" si="10"/>
        <v>49.99</v>
      </c>
    </row>
    <row r="667" spans="1:13" ht="15.75" customHeight="1">
      <c r="A667" s="1" t="s">
        <v>1453</v>
      </c>
      <c r="B667" s="1" t="str">
        <f>"033977473157"</f>
        <v>033977473157</v>
      </c>
      <c r="C667" s="1" t="s">
        <v>1454</v>
      </c>
      <c r="D667" s="2" t="s">
        <v>1452</v>
      </c>
      <c r="E667" s="1" t="s">
        <v>1432</v>
      </c>
      <c r="F667" s="1" t="s">
        <v>2516</v>
      </c>
      <c r="G667" s="1" t="str">
        <f>"11"</f>
        <v>11</v>
      </c>
      <c r="H667" s="1" t="str">
        <f>"1200164100"</f>
        <v>1200164100</v>
      </c>
      <c r="I667" s="1" t="s">
        <v>2257</v>
      </c>
      <c r="J667" s="1" t="s">
        <v>2230</v>
      </c>
      <c r="K667" s="3">
        <v>1</v>
      </c>
      <c r="L667" s="4">
        <v>49.99</v>
      </c>
      <c r="M667" s="4">
        <f t="shared" si="10"/>
        <v>49.99</v>
      </c>
    </row>
    <row r="668" spans="1:13" ht="15.75" customHeight="1">
      <c r="A668" s="1" t="s">
        <v>1455</v>
      </c>
      <c r="B668" s="1" t="str">
        <f>"033977428140"</f>
        <v>033977428140</v>
      </c>
      <c r="C668" s="1" t="s">
        <v>1456</v>
      </c>
      <c r="D668" s="2" t="s">
        <v>1457</v>
      </c>
      <c r="E668" s="1" t="s">
        <v>1432</v>
      </c>
      <c r="F668" s="1" t="s">
        <v>1458</v>
      </c>
      <c r="G668" s="1" t="str">
        <f>"6"</f>
        <v>6</v>
      </c>
      <c r="H668" s="1" t="str">
        <f>"1000110021"</f>
        <v>1000110021</v>
      </c>
      <c r="I668" s="1" t="s">
        <v>2257</v>
      </c>
      <c r="J668" s="1" t="s">
        <v>2230</v>
      </c>
      <c r="K668" s="3">
        <v>6</v>
      </c>
      <c r="L668" s="4">
        <v>84.99</v>
      </c>
      <c r="M668" s="4">
        <f t="shared" si="10"/>
        <v>509.93999999999994</v>
      </c>
    </row>
    <row r="669" spans="1:13" ht="15.75" customHeight="1">
      <c r="A669" s="1" t="s">
        <v>1459</v>
      </c>
      <c r="B669" s="1" t="str">
        <f>"033977428157"</f>
        <v>033977428157</v>
      </c>
      <c r="C669" s="1" t="s">
        <v>1460</v>
      </c>
      <c r="D669" s="2" t="s">
        <v>1457</v>
      </c>
      <c r="E669" s="1" t="s">
        <v>1432</v>
      </c>
      <c r="F669" s="1" t="s">
        <v>1458</v>
      </c>
      <c r="G669" s="1" t="str">
        <f>"6.5"</f>
        <v>6.5</v>
      </c>
      <c r="H669" s="1" t="str">
        <f>"1000110021"</f>
        <v>1000110021</v>
      </c>
      <c r="I669" s="1" t="s">
        <v>2257</v>
      </c>
      <c r="J669" s="1" t="s">
        <v>2230</v>
      </c>
      <c r="K669" s="3">
        <v>24</v>
      </c>
      <c r="L669" s="4">
        <v>84.99</v>
      </c>
      <c r="M669" s="4">
        <f t="shared" si="10"/>
        <v>2039.7599999999998</v>
      </c>
    </row>
    <row r="670" spans="1:13" ht="15.75" customHeight="1">
      <c r="A670" s="1" t="s">
        <v>1461</v>
      </c>
      <c r="B670" s="1" t="str">
        <f>"033977428164"</f>
        <v>033977428164</v>
      </c>
      <c r="C670" s="1" t="s">
        <v>1462</v>
      </c>
      <c r="D670" s="2" t="s">
        <v>1457</v>
      </c>
      <c r="E670" s="1" t="s">
        <v>1432</v>
      </c>
      <c r="F670" s="1" t="s">
        <v>1458</v>
      </c>
      <c r="G670" s="1" t="str">
        <f>"7"</f>
        <v>7</v>
      </c>
      <c r="H670" s="1" t="str">
        <f>"1000110021"</f>
        <v>1000110021</v>
      </c>
      <c r="I670" s="1" t="s">
        <v>2257</v>
      </c>
      <c r="J670" s="1" t="s">
        <v>2230</v>
      </c>
      <c r="K670" s="3">
        <v>36</v>
      </c>
      <c r="L670" s="4">
        <v>84.99</v>
      </c>
      <c r="M670" s="4">
        <f t="shared" si="10"/>
        <v>3059.64</v>
      </c>
    </row>
    <row r="671" spans="1:13" ht="15.75" customHeight="1">
      <c r="A671" s="1" t="s">
        <v>1463</v>
      </c>
      <c r="B671" s="1" t="str">
        <f>"033977428188"</f>
        <v>033977428188</v>
      </c>
      <c r="C671" s="1" t="s">
        <v>1464</v>
      </c>
      <c r="D671" s="2" t="s">
        <v>1457</v>
      </c>
      <c r="E671" s="1" t="s">
        <v>1432</v>
      </c>
      <c r="F671" s="1" t="s">
        <v>1458</v>
      </c>
      <c r="G671" s="1" t="str">
        <f>"8"</f>
        <v>8</v>
      </c>
      <c r="H671" s="1" t="str">
        <f>"1000110021"</f>
        <v>1000110021</v>
      </c>
      <c r="I671" s="1" t="s">
        <v>2257</v>
      </c>
      <c r="J671" s="1" t="s">
        <v>2230</v>
      </c>
      <c r="K671" s="3">
        <v>44</v>
      </c>
      <c r="L671" s="4">
        <v>84.99</v>
      </c>
      <c r="M671" s="4">
        <f t="shared" si="10"/>
        <v>3739.56</v>
      </c>
    </row>
    <row r="672" spans="1:13" ht="15.75" customHeight="1">
      <c r="A672" s="1" t="s">
        <v>1465</v>
      </c>
      <c r="B672" s="1" t="str">
        <f>"33977463141"</f>
        <v>33977463141</v>
      </c>
      <c r="C672" s="1" t="s">
        <v>1466</v>
      </c>
      <c r="D672" s="2" t="s">
        <v>1467</v>
      </c>
      <c r="E672" s="1" t="s">
        <v>1432</v>
      </c>
      <c r="F672" s="1" t="s">
        <v>2210</v>
      </c>
      <c r="G672" s="1" t="str">
        <f>"6"</f>
        <v>6</v>
      </c>
      <c r="H672" s="1" t="str">
        <f t="shared" ref="H672:H679" si="11">"1000153001"</f>
        <v>1000153001</v>
      </c>
      <c r="I672" s="1" t="s">
        <v>2257</v>
      </c>
      <c r="J672" s="1" t="s">
        <v>2230</v>
      </c>
      <c r="K672" s="3">
        <v>2</v>
      </c>
      <c r="L672" s="4">
        <v>85</v>
      </c>
      <c r="M672" s="4">
        <f t="shared" si="10"/>
        <v>170</v>
      </c>
    </row>
    <row r="673" spans="1:13" ht="15.75" customHeight="1">
      <c r="A673" s="1" t="s">
        <v>1468</v>
      </c>
      <c r="B673" s="1" t="str">
        <f>"33977463158"</f>
        <v>33977463158</v>
      </c>
      <c r="C673" s="1" t="s">
        <v>1469</v>
      </c>
      <c r="D673" s="2" t="s">
        <v>1467</v>
      </c>
      <c r="E673" s="1" t="s">
        <v>1432</v>
      </c>
      <c r="F673" s="1" t="s">
        <v>2210</v>
      </c>
      <c r="G673" s="1" t="str">
        <f>"6.5"</f>
        <v>6.5</v>
      </c>
      <c r="H673" s="1" t="str">
        <f t="shared" si="11"/>
        <v>1000153001</v>
      </c>
      <c r="I673" s="1" t="s">
        <v>2257</v>
      </c>
      <c r="J673" s="1" t="s">
        <v>2230</v>
      </c>
      <c r="K673" s="3">
        <v>2</v>
      </c>
      <c r="L673" s="4">
        <v>85</v>
      </c>
      <c r="M673" s="4">
        <f t="shared" si="10"/>
        <v>170</v>
      </c>
    </row>
    <row r="674" spans="1:13" ht="15.75" customHeight="1">
      <c r="A674" s="1" t="s">
        <v>1470</v>
      </c>
      <c r="B674" s="1" t="str">
        <f>"33977463165"</f>
        <v>33977463165</v>
      </c>
      <c r="C674" s="1" t="s">
        <v>1471</v>
      </c>
      <c r="D674" s="2" t="s">
        <v>1467</v>
      </c>
      <c r="E674" s="1" t="s">
        <v>1432</v>
      </c>
      <c r="F674" s="1" t="s">
        <v>2210</v>
      </c>
      <c r="G674" s="1" t="str">
        <f>"7"</f>
        <v>7</v>
      </c>
      <c r="H674" s="1" t="str">
        <f t="shared" si="11"/>
        <v>1000153001</v>
      </c>
      <c r="I674" s="1" t="s">
        <v>2257</v>
      </c>
      <c r="J674" s="1" t="s">
        <v>2230</v>
      </c>
      <c r="K674" s="3">
        <v>6</v>
      </c>
      <c r="L674" s="4">
        <v>85</v>
      </c>
      <c r="M674" s="4">
        <f t="shared" si="10"/>
        <v>510</v>
      </c>
    </row>
    <row r="675" spans="1:13" ht="15.75" customHeight="1">
      <c r="A675" s="1" t="s">
        <v>1472</v>
      </c>
      <c r="B675" s="1" t="str">
        <f>"33977463172"</f>
        <v>33977463172</v>
      </c>
      <c r="C675" s="1" t="s">
        <v>1473</v>
      </c>
      <c r="D675" s="2" t="s">
        <v>1467</v>
      </c>
      <c r="E675" s="1" t="s">
        <v>1432</v>
      </c>
      <c r="F675" s="1" t="s">
        <v>2210</v>
      </c>
      <c r="G675" s="1" t="str">
        <f>"7.5"</f>
        <v>7.5</v>
      </c>
      <c r="H675" s="1" t="str">
        <f t="shared" si="11"/>
        <v>1000153001</v>
      </c>
      <c r="I675" s="1" t="s">
        <v>2257</v>
      </c>
      <c r="J675" s="1" t="s">
        <v>2230</v>
      </c>
      <c r="K675" s="3">
        <v>2</v>
      </c>
      <c r="L675" s="4">
        <v>85</v>
      </c>
      <c r="M675" s="4">
        <f t="shared" si="10"/>
        <v>170</v>
      </c>
    </row>
    <row r="676" spans="1:13" ht="15.75" customHeight="1">
      <c r="A676" s="1" t="s">
        <v>1474</v>
      </c>
      <c r="B676" s="1" t="str">
        <f>"33977463189"</f>
        <v>33977463189</v>
      </c>
      <c r="C676" s="1" t="s">
        <v>1475</v>
      </c>
      <c r="D676" s="2" t="s">
        <v>1467</v>
      </c>
      <c r="E676" s="1" t="s">
        <v>1432</v>
      </c>
      <c r="F676" s="1" t="s">
        <v>2210</v>
      </c>
      <c r="G676" s="1" t="str">
        <f>"8"</f>
        <v>8</v>
      </c>
      <c r="H676" s="1" t="str">
        <f t="shared" si="11"/>
        <v>1000153001</v>
      </c>
      <c r="I676" s="1" t="s">
        <v>2257</v>
      </c>
      <c r="J676" s="1" t="s">
        <v>2230</v>
      </c>
      <c r="K676" s="3">
        <v>4</v>
      </c>
      <c r="L676" s="4">
        <v>85</v>
      </c>
      <c r="M676" s="4">
        <f t="shared" si="10"/>
        <v>340</v>
      </c>
    </row>
    <row r="677" spans="1:13" ht="15.75" customHeight="1">
      <c r="A677" s="1" t="s">
        <v>1476</v>
      </c>
      <c r="B677" s="1" t="str">
        <f>"33977463196"</f>
        <v>33977463196</v>
      </c>
      <c r="C677" s="1" t="s">
        <v>1477</v>
      </c>
      <c r="D677" s="2" t="s">
        <v>1467</v>
      </c>
      <c r="E677" s="1" t="s">
        <v>1432</v>
      </c>
      <c r="F677" s="1" t="s">
        <v>2210</v>
      </c>
      <c r="G677" s="1" t="str">
        <f>"8.5"</f>
        <v>8.5</v>
      </c>
      <c r="H677" s="1" t="str">
        <f t="shared" si="11"/>
        <v>1000153001</v>
      </c>
      <c r="I677" s="1" t="s">
        <v>2257</v>
      </c>
      <c r="J677" s="1" t="s">
        <v>2230</v>
      </c>
      <c r="K677" s="3">
        <v>5</v>
      </c>
      <c r="L677" s="4">
        <v>85</v>
      </c>
      <c r="M677" s="4">
        <f t="shared" si="10"/>
        <v>425</v>
      </c>
    </row>
    <row r="678" spans="1:13" ht="15.75" customHeight="1">
      <c r="A678" s="1" t="s">
        <v>1478</v>
      </c>
      <c r="B678" s="1" t="str">
        <f>"33977463202"</f>
        <v>33977463202</v>
      </c>
      <c r="C678" s="1" t="s">
        <v>1479</v>
      </c>
      <c r="D678" s="2" t="s">
        <v>1467</v>
      </c>
      <c r="E678" s="1" t="s">
        <v>1432</v>
      </c>
      <c r="F678" s="1" t="s">
        <v>2210</v>
      </c>
      <c r="G678" s="1" t="str">
        <f>"9"</f>
        <v>9</v>
      </c>
      <c r="H678" s="1" t="str">
        <f t="shared" si="11"/>
        <v>1000153001</v>
      </c>
      <c r="I678" s="1" t="s">
        <v>2257</v>
      </c>
      <c r="J678" s="1" t="s">
        <v>2230</v>
      </c>
      <c r="K678" s="3">
        <v>6</v>
      </c>
      <c r="L678" s="4">
        <v>85</v>
      </c>
      <c r="M678" s="4">
        <f t="shared" si="10"/>
        <v>510</v>
      </c>
    </row>
    <row r="679" spans="1:13" ht="15.75" customHeight="1">
      <c r="A679" s="1" t="s">
        <v>1480</v>
      </c>
      <c r="B679" s="1" t="str">
        <f>"33977463219"</f>
        <v>33977463219</v>
      </c>
      <c r="C679" s="1" t="s">
        <v>1481</v>
      </c>
      <c r="D679" s="2" t="s">
        <v>1467</v>
      </c>
      <c r="E679" s="1" t="s">
        <v>1432</v>
      </c>
      <c r="F679" s="1" t="s">
        <v>2210</v>
      </c>
      <c r="G679" s="1" t="str">
        <f>"9.5"</f>
        <v>9.5</v>
      </c>
      <c r="H679" s="1" t="str">
        <f t="shared" si="11"/>
        <v>1000153001</v>
      </c>
      <c r="I679" s="1" t="s">
        <v>2257</v>
      </c>
      <c r="J679" s="1" t="s">
        <v>2230</v>
      </c>
      <c r="K679" s="3">
        <v>6</v>
      </c>
      <c r="L679" s="4">
        <v>85</v>
      </c>
      <c r="M679" s="4">
        <f t="shared" si="10"/>
        <v>510</v>
      </c>
    </row>
    <row r="680" spans="1:13" ht="15.75" customHeight="1">
      <c r="A680" s="1" t="s">
        <v>1482</v>
      </c>
      <c r="B680" s="1" t="str">
        <f>"33977463127"</f>
        <v>33977463127</v>
      </c>
      <c r="C680" s="1" t="s">
        <v>1483</v>
      </c>
      <c r="D680" s="2" t="s">
        <v>1484</v>
      </c>
      <c r="E680" s="1" t="s">
        <v>1432</v>
      </c>
      <c r="F680" s="1" t="s">
        <v>1946</v>
      </c>
      <c r="G680" s="1" t="str">
        <f>"10"</f>
        <v>10</v>
      </c>
      <c r="H680" s="1" t="str">
        <f>"1000153240"</f>
        <v>1000153240</v>
      </c>
      <c r="I680" s="1" t="s">
        <v>2257</v>
      </c>
      <c r="J680" s="1" t="s">
        <v>2230</v>
      </c>
      <c r="K680" s="3">
        <v>2</v>
      </c>
      <c r="L680" s="4">
        <v>85</v>
      </c>
      <c r="M680" s="4">
        <f t="shared" si="10"/>
        <v>170</v>
      </c>
    </row>
    <row r="681" spans="1:13" ht="15.75" customHeight="1">
      <c r="A681" s="1" t="s">
        <v>1485</v>
      </c>
      <c r="B681" s="1" t="str">
        <f>"33977463042"</f>
        <v>33977463042</v>
      </c>
      <c r="C681" s="1" t="s">
        <v>1486</v>
      </c>
      <c r="D681" s="2" t="s">
        <v>1484</v>
      </c>
      <c r="E681" s="1" t="s">
        <v>1432</v>
      </c>
      <c r="F681" s="1" t="s">
        <v>1946</v>
      </c>
      <c r="G681" s="1" t="str">
        <f>"6"</f>
        <v>6</v>
      </c>
      <c r="H681" s="1" t="str">
        <f>"1000153240"</f>
        <v>1000153240</v>
      </c>
      <c r="I681" s="1" t="s">
        <v>2257</v>
      </c>
      <c r="J681" s="1" t="s">
        <v>2230</v>
      </c>
      <c r="K681" s="3">
        <v>4</v>
      </c>
      <c r="L681" s="4">
        <v>85</v>
      </c>
      <c r="M681" s="4">
        <f t="shared" si="10"/>
        <v>340</v>
      </c>
    </row>
    <row r="682" spans="1:13" ht="15.75" customHeight="1">
      <c r="A682" s="1" t="s">
        <v>1487</v>
      </c>
      <c r="B682" s="1" t="str">
        <f>"33977463080"</f>
        <v>33977463080</v>
      </c>
      <c r="C682" s="1" t="s">
        <v>1488</v>
      </c>
      <c r="D682" s="2" t="s">
        <v>1484</v>
      </c>
      <c r="E682" s="1" t="s">
        <v>1432</v>
      </c>
      <c r="F682" s="1" t="s">
        <v>1946</v>
      </c>
      <c r="G682" s="1" t="str">
        <f>"8"</f>
        <v>8</v>
      </c>
      <c r="H682" s="1" t="str">
        <f>"1000153240"</f>
        <v>1000153240</v>
      </c>
      <c r="I682" s="1" t="s">
        <v>2257</v>
      </c>
      <c r="J682" s="1" t="s">
        <v>2230</v>
      </c>
      <c r="K682" s="3">
        <v>14</v>
      </c>
      <c r="L682" s="4">
        <v>85</v>
      </c>
      <c r="M682" s="4">
        <f t="shared" si="10"/>
        <v>1190</v>
      </c>
    </row>
    <row r="683" spans="1:13" ht="15.75" customHeight="1">
      <c r="A683" s="1" t="s">
        <v>1489</v>
      </c>
      <c r="B683" s="1" t="str">
        <f>"33977463103"</f>
        <v>33977463103</v>
      </c>
      <c r="C683" s="1" t="s">
        <v>1490</v>
      </c>
      <c r="D683" s="2" t="s">
        <v>1484</v>
      </c>
      <c r="E683" s="1" t="s">
        <v>1432</v>
      </c>
      <c r="F683" s="1" t="s">
        <v>1946</v>
      </c>
      <c r="G683" s="1" t="str">
        <f>"9"</f>
        <v>9</v>
      </c>
      <c r="H683" s="1" t="str">
        <f>"1000153240"</f>
        <v>1000153240</v>
      </c>
      <c r="I683" s="1" t="s">
        <v>2257</v>
      </c>
      <c r="J683" s="1" t="s">
        <v>2230</v>
      </c>
      <c r="K683" s="3">
        <v>2</v>
      </c>
      <c r="L683" s="4">
        <v>85</v>
      </c>
      <c r="M683" s="4">
        <f t="shared" si="10"/>
        <v>170</v>
      </c>
    </row>
    <row r="684" spans="1:13" ht="15.75" customHeight="1">
      <c r="A684" s="1" t="s">
        <v>1491</v>
      </c>
      <c r="B684" s="1" t="str">
        <f>"033977426849"</f>
        <v>033977426849</v>
      </c>
      <c r="C684" s="1" t="s">
        <v>1492</v>
      </c>
      <c r="D684" s="2" t="s">
        <v>1493</v>
      </c>
      <c r="E684" s="1" t="s">
        <v>1432</v>
      </c>
      <c r="F684" s="1" t="s">
        <v>1494</v>
      </c>
      <c r="G684" s="1" t="str">
        <f>"6"</f>
        <v>6</v>
      </c>
      <c r="H684" s="1" t="str">
        <f>"1000107001"</f>
        <v>1000107001</v>
      </c>
      <c r="I684" s="1" t="s">
        <v>2257</v>
      </c>
      <c r="J684" s="1" t="s">
        <v>2230</v>
      </c>
      <c r="K684" s="3">
        <v>1</v>
      </c>
      <c r="L684" s="4">
        <v>89.99</v>
      </c>
      <c r="M684" s="4">
        <f t="shared" si="10"/>
        <v>89.99</v>
      </c>
    </row>
    <row r="685" spans="1:13" ht="15.75" customHeight="1">
      <c r="A685" s="1" t="s">
        <v>1495</v>
      </c>
      <c r="B685" s="1" t="str">
        <f>"033977426856"</f>
        <v>033977426856</v>
      </c>
      <c r="C685" s="1" t="s">
        <v>1496</v>
      </c>
      <c r="D685" s="2" t="s">
        <v>1493</v>
      </c>
      <c r="E685" s="1" t="s">
        <v>1432</v>
      </c>
      <c r="F685" s="1" t="s">
        <v>1494</v>
      </c>
      <c r="G685" s="1" t="str">
        <f>"6.5"</f>
        <v>6.5</v>
      </c>
      <c r="H685" s="1" t="str">
        <f>"1000107001"</f>
        <v>1000107001</v>
      </c>
      <c r="I685" s="1" t="s">
        <v>2257</v>
      </c>
      <c r="J685" s="1" t="s">
        <v>2230</v>
      </c>
      <c r="K685" s="3">
        <v>21</v>
      </c>
      <c r="L685" s="4">
        <v>89.99</v>
      </c>
      <c r="M685" s="4">
        <f t="shared" si="10"/>
        <v>1889.79</v>
      </c>
    </row>
    <row r="686" spans="1:13" ht="15.75" customHeight="1">
      <c r="A686" s="1" t="s">
        <v>1497</v>
      </c>
      <c r="B686" s="1" t="str">
        <f>"033977426863"</f>
        <v>033977426863</v>
      </c>
      <c r="C686" s="1" t="s">
        <v>1498</v>
      </c>
      <c r="D686" s="2" t="s">
        <v>1493</v>
      </c>
      <c r="E686" s="1" t="s">
        <v>1432</v>
      </c>
      <c r="F686" s="1" t="s">
        <v>1494</v>
      </c>
      <c r="G686" s="1" t="str">
        <f>"7"</f>
        <v>7</v>
      </c>
      <c r="H686" s="1" t="str">
        <f>"1000107001"</f>
        <v>1000107001</v>
      </c>
      <c r="I686" s="1" t="s">
        <v>2257</v>
      </c>
      <c r="J686" s="1" t="s">
        <v>2230</v>
      </c>
      <c r="K686" s="3">
        <v>60</v>
      </c>
      <c r="L686" s="4">
        <v>89.99</v>
      </c>
      <c r="M686" s="4">
        <f t="shared" si="10"/>
        <v>5399.4</v>
      </c>
    </row>
    <row r="687" spans="1:13" ht="15.75" customHeight="1">
      <c r="A687" s="1" t="s">
        <v>1499</v>
      </c>
      <c r="B687" s="1" t="str">
        <f>"033977426887"</f>
        <v>033977426887</v>
      </c>
      <c r="C687" s="1" t="s">
        <v>1500</v>
      </c>
      <c r="D687" s="2" t="s">
        <v>1493</v>
      </c>
      <c r="E687" s="1" t="s">
        <v>1432</v>
      </c>
      <c r="F687" s="1" t="s">
        <v>1494</v>
      </c>
      <c r="G687" s="1" t="str">
        <f>"8"</f>
        <v>8</v>
      </c>
      <c r="H687" s="1" t="str">
        <f>"1000107001"</f>
        <v>1000107001</v>
      </c>
      <c r="I687" s="1" t="s">
        <v>2257</v>
      </c>
      <c r="J687" s="1" t="s">
        <v>2230</v>
      </c>
      <c r="K687" s="3">
        <v>39</v>
      </c>
      <c r="L687" s="4">
        <v>89.99</v>
      </c>
      <c r="M687" s="4">
        <f t="shared" si="10"/>
        <v>3509.6099999999997</v>
      </c>
    </row>
    <row r="688" spans="1:13" ht="15.75" customHeight="1">
      <c r="A688" s="1" t="s">
        <v>1501</v>
      </c>
      <c r="B688" s="1" t="str">
        <f>"192498018299"</f>
        <v>192498018299</v>
      </c>
      <c r="C688" s="1" t="s">
        <v>1502</v>
      </c>
      <c r="D688" s="2" t="s">
        <v>1503</v>
      </c>
      <c r="E688" s="1" t="s">
        <v>1504</v>
      </c>
      <c r="F688" s="1" t="s">
        <v>1505</v>
      </c>
      <c r="G688" s="1" t="s">
        <v>2219</v>
      </c>
      <c r="H688" s="1" t="s">
        <v>1506</v>
      </c>
      <c r="I688" s="1" t="s">
        <v>2351</v>
      </c>
      <c r="J688" s="1" t="s">
        <v>2428</v>
      </c>
      <c r="K688" s="3">
        <v>26</v>
      </c>
      <c r="L688" s="4">
        <v>20</v>
      </c>
      <c r="M688" s="4">
        <f t="shared" si="10"/>
        <v>520</v>
      </c>
    </row>
    <row r="689" spans="1:13" ht="15.75" customHeight="1">
      <c r="A689" s="1" t="s">
        <v>1507</v>
      </c>
      <c r="B689" s="1" t="str">
        <f>"192498018589"</f>
        <v>192498018589</v>
      </c>
      <c r="C689" s="1" t="s">
        <v>1508</v>
      </c>
      <c r="D689" s="2" t="s">
        <v>1503</v>
      </c>
      <c r="E689" s="1" t="s">
        <v>1504</v>
      </c>
      <c r="F689" s="1" t="s">
        <v>1509</v>
      </c>
      <c r="G689" s="1" t="s">
        <v>2411</v>
      </c>
      <c r="H689" s="1" t="s">
        <v>1510</v>
      </c>
      <c r="I689" s="1" t="s">
        <v>2351</v>
      </c>
      <c r="J689" s="1" t="s">
        <v>2428</v>
      </c>
      <c r="K689" s="3">
        <v>3</v>
      </c>
      <c r="L689" s="4">
        <v>20</v>
      </c>
      <c r="M689" s="4">
        <f t="shared" si="10"/>
        <v>60</v>
      </c>
    </row>
    <row r="690" spans="1:13" ht="15.75" customHeight="1">
      <c r="A690" s="1" t="s">
        <v>1511</v>
      </c>
      <c r="B690" s="1" t="str">
        <f>"888412046775"</f>
        <v>888412046775</v>
      </c>
      <c r="C690" s="1" t="s">
        <v>1512</v>
      </c>
      <c r="D690" s="2" t="s">
        <v>2768</v>
      </c>
      <c r="E690" s="1" t="s">
        <v>1504</v>
      </c>
      <c r="F690" s="1" t="s">
        <v>1513</v>
      </c>
      <c r="G690" s="1" t="s">
        <v>2418</v>
      </c>
      <c r="H690" s="1" t="s">
        <v>1514</v>
      </c>
      <c r="I690" s="1" t="s">
        <v>2304</v>
      </c>
      <c r="J690" s="1" t="s">
        <v>2428</v>
      </c>
      <c r="K690" s="3">
        <v>1</v>
      </c>
      <c r="L690" s="4">
        <v>25</v>
      </c>
      <c r="M690" s="4">
        <f t="shared" si="10"/>
        <v>25</v>
      </c>
    </row>
    <row r="691" spans="1:13" ht="15.75" customHeight="1">
      <c r="A691" s="1" t="s">
        <v>1515</v>
      </c>
      <c r="B691" s="1" t="str">
        <f>"193150193910"</f>
        <v>193150193910</v>
      </c>
      <c r="C691" s="1" t="s">
        <v>1516</v>
      </c>
      <c r="D691" s="2"/>
      <c r="E691" s="1" t="s">
        <v>1504</v>
      </c>
      <c r="F691" s="1" t="s">
        <v>1517</v>
      </c>
      <c r="G691" s="1" t="s">
        <v>2418</v>
      </c>
      <c r="H691" s="1" t="s">
        <v>1518</v>
      </c>
      <c r="I691" s="1" t="s">
        <v>2213</v>
      </c>
      <c r="J691" s="1" t="s">
        <v>1146</v>
      </c>
      <c r="K691" s="3">
        <v>1</v>
      </c>
      <c r="L691" s="4">
        <v>35</v>
      </c>
      <c r="M691" s="4">
        <f t="shared" si="10"/>
        <v>35</v>
      </c>
    </row>
    <row r="692" spans="1:13" ht="15.75" customHeight="1">
      <c r="A692" s="1" t="s">
        <v>1519</v>
      </c>
      <c r="B692" s="1" t="str">
        <f>"191888621989"</f>
        <v>191888621989</v>
      </c>
      <c r="C692" s="1" t="s">
        <v>1520</v>
      </c>
      <c r="D692" s="2"/>
      <c r="E692" s="1" t="s">
        <v>1504</v>
      </c>
      <c r="F692" s="1" t="s">
        <v>2516</v>
      </c>
      <c r="G692" s="1" t="s">
        <v>2211</v>
      </c>
      <c r="H692" s="1" t="s">
        <v>1521</v>
      </c>
      <c r="I692" s="1" t="s">
        <v>2220</v>
      </c>
      <c r="J692" s="1" t="s">
        <v>2428</v>
      </c>
      <c r="K692" s="3">
        <v>1</v>
      </c>
      <c r="L692" s="4">
        <v>30</v>
      </c>
      <c r="M692" s="4">
        <f t="shared" si="10"/>
        <v>30</v>
      </c>
    </row>
    <row r="693" spans="1:13" ht="15.75" customHeight="1">
      <c r="A693" s="1" t="s">
        <v>1522</v>
      </c>
      <c r="B693" s="1" t="str">
        <f>"823229482552"</f>
        <v>823229482552</v>
      </c>
      <c r="C693" s="1" t="s">
        <v>1523</v>
      </c>
      <c r="D693" s="2"/>
      <c r="E693" s="1" t="s">
        <v>1504</v>
      </c>
      <c r="F693" s="1" t="s">
        <v>1458</v>
      </c>
      <c r="G693" s="1" t="s">
        <v>2211</v>
      </c>
      <c r="H693" s="1" t="str">
        <f>"718833"</f>
        <v>718833</v>
      </c>
      <c r="I693" s="1" t="s">
        <v>2220</v>
      </c>
      <c r="J693" s="1" t="s">
        <v>2428</v>
      </c>
      <c r="K693" s="3">
        <v>1</v>
      </c>
      <c r="L693" s="4">
        <v>25</v>
      </c>
      <c r="M693" s="4">
        <f t="shared" si="10"/>
        <v>25</v>
      </c>
    </row>
    <row r="694" spans="1:13" ht="15.75" customHeight="1">
      <c r="A694" s="1" t="s">
        <v>1524</v>
      </c>
      <c r="B694" s="1" t="str">
        <f>"193147719338"</f>
        <v>193147719338</v>
      </c>
      <c r="C694" s="1" t="s">
        <v>1525</v>
      </c>
      <c r="D694" s="2"/>
      <c r="E694" s="1" t="s">
        <v>1504</v>
      </c>
      <c r="F694" s="1" t="s">
        <v>2516</v>
      </c>
      <c r="G694" s="1" t="s">
        <v>2211</v>
      </c>
      <c r="H694" s="1" t="s">
        <v>1526</v>
      </c>
      <c r="I694" s="1" t="s">
        <v>2220</v>
      </c>
      <c r="J694" s="1" t="s">
        <v>2827</v>
      </c>
      <c r="K694" s="3">
        <v>1</v>
      </c>
      <c r="L694" s="4">
        <v>55</v>
      </c>
      <c r="M694" s="4">
        <f t="shared" si="10"/>
        <v>55</v>
      </c>
    </row>
    <row r="695" spans="1:13" ht="15.75" customHeight="1">
      <c r="A695" s="1" t="s">
        <v>1527</v>
      </c>
      <c r="B695" s="1" t="str">
        <f>"91203926631"</f>
        <v>91203926631</v>
      </c>
      <c r="C695" s="1" t="s">
        <v>1528</v>
      </c>
      <c r="D695" s="2" t="s">
        <v>1529</v>
      </c>
      <c r="E695" s="1" t="s">
        <v>1504</v>
      </c>
      <c r="F695" s="1" t="s">
        <v>1530</v>
      </c>
      <c r="G695" s="1" t="s">
        <v>2422</v>
      </c>
      <c r="H695" s="1" t="str">
        <f>"849585"</f>
        <v>849585</v>
      </c>
      <c r="I695" s="1" t="s">
        <v>2257</v>
      </c>
      <c r="J695" s="1" t="s">
        <v>2221</v>
      </c>
      <c r="K695" s="3">
        <v>50</v>
      </c>
      <c r="L695" s="4">
        <v>30</v>
      </c>
      <c r="M695" s="4">
        <f t="shared" si="10"/>
        <v>1500</v>
      </c>
    </row>
    <row r="696" spans="1:13" ht="15.75" customHeight="1">
      <c r="A696" s="1" t="s">
        <v>1531</v>
      </c>
      <c r="B696" s="1" t="str">
        <f>"194957438365"</f>
        <v>194957438365</v>
      </c>
      <c r="C696" s="1" t="s">
        <v>1532</v>
      </c>
      <c r="D696" s="2" t="s">
        <v>1533</v>
      </c>
      <c r="E696" s="1" t="s">
        <v>1504</v>
      </c>
      <c r="F696" s="1" t="s">
        <v>1534</v>
      </c>
      <c r="G696" s="1" t="str">
        <f>"9"</f>
        <v>9</v>
      </c>
      <c r="H696" s="1" t="s">
        <v>1535</v>
      </c>
      <c r="I696" s="1" t="s">
        <v>2351</v>
      </c>
      <c r="J696" s="1" t="s">
        <v>2230</v>
      </c>
      <c r="K696" s="3">
        <v>2</v>
      </c>
      <c r="L696" s="4">
        <v>55</v>
      </c>
      <c r="M696" s="4">
        <f t="shared" si="10"/>
        <v>110</v>
      </c>
    </row>
    <row r="697" spans="1:13" ht="15.75" customHeight="1">
      <c r="A697" s="1" t="s">
        <v>1536</v>
      </c>
      <c r="B697" s="1" t="str">
        <f>"841314199208"</f>
        <v>841314199208</v>
      </c>
      <c r="C697" s="1" t="s">
        <v>1537</v>
      </c>
      <c r="D697" s="2" t="s">
        <v>1538</v>
      </c>
      <c r="E697" s="1" t="s">
        <v>1539</v>
      </c>
      <c r="F697" s="1" t="s">
        <v>1540</v>
      </c>
      <c r="G697" s="1" t="s">
        <v>2211</v>
      </c>
      <c r="H697" s="1" t="s">
        <v>1541</v>
      </c>
      <c r="I697" s="1" t="s">
        <v>2220</v>
      </c>
      <c r="J697" s="1" t="s">
        <v>1324</v>
      </c>
      <c r="K697" s="3">
        <v>69</v>
      </c>
      <c r="L697" s="4">
        <v>69</v>
      </c>
      <c r="M697" s="4">
        <f t="shared" si="10"/>
        <v>4761</v>
      </c>
    </row>
    <row r="698" spans="1:13" ht="15.75" customHeight="1">
      <c r="A698" s="1" t="s">
        <v>1542</v>
      </c>
      <c r="B698" s="1" t="str">
        <f>"841314199192"</f>
        <v>841314199192</v>
      </c>
      <c r="C698" s="1" t="s">
        <v>1543</v>
      </c>
      <c r="D698" s="2" t="s">
        <v>1538</v>
      </c>
      <c r="E698" s="1" t="s">
        <v>1539</v>
      </c>
      <c r="F698" s="1" t="s">
        <v>1540</v>
      </c>
      <c r="G698" s="1" t="s">
        <v>2411</v>
      </c>
      <c r="H698" s="1" t="s">
        <v>1541</v>
      </c>
      <c r="I698" s="1" t="s">
        <v>2220</v>
      </c>
      <c r="J698" s="1" t="s">
        <v>1324</v>
      </c>
      <c r="K698" s="3">
        <v>104</v>
      </c>
      <c r="L698" s="4">
        <v>69</v>
      </c>
      <c r="M698" s="4">
        <f t="shared" si="10"/>
        <v>7176</v>
      </c>
    </row>
    <row r="699" spans="1:13" ht="15.75" customHeight="1">
      <c r="A699" s="1" t="s">
        <v>1544</v>
      </c>
      <c r="B699" s="1" t="str">
        <f>"841314199185"</f>
        <v>841314199185</v>
      </c>
      <c r="C699" s="1" t="s">
        <v>1545</v>
      </c>
      <c r="D699" s="2" t="s">
        <v>1538</v>
      </c>
      <c r="E699" s="1" t="s">
        <v>1539</v>
      </c>
      <c r="F699" s="1" t="s">
        <v>1540</v>
      </c>
      <c r="G699" s="1" t="s">
        <v>2219</v>
      </c>
      <c r="H699" s="1" t="s">
        <v>1541</v>
      </c>
      <c r="I699" s="1" t="s">
        <v>2220</v>
      </c>
      <c r="J699" s="1" t="s">
        <v>1324</v>
      </c>
      <c r="K699" s="3">
        <v>65</v>
      </c>
      <c r="L699" s="4">
        <v>69</v>
      </c>
      <c r="M699" s="4">
        <f t="shared" si="10"/>
        <v>4485</v>
      </c>
    </row>
    <row r="700" spans="1:13" ht="15.75" customHeight="1">
      <c r="A700" s="1" t="s">
        <v>1546</v>
      </c>
      <c r="B700" s="1" t="str">
        <f>"841314199215"</f>
        <v>841314199215</v>
      </c>
      <c r="C700" s="1" t="s">
        <v>1547</v>
      </c>
      <c r="D700" s="2" t="s">
        <v>1538</v>
      </c>
      <c r="E700" s="1" t="s">
        <v>1539</v>
      </c>
      <c r="F700" s="1" t="s">
        <v>1540</v>
      </c>
      <c r="G700" s="1" t="s">
        <v>2418</v>
      </c>
      <c r="H700" s="1" t="s">
        <v>1541</v>
      </c>
      <c r="I700" s="1" t="s">
        <v>2220</v>
      </c>
      <c r="J700" s="1" t="s">
        <v>1324</v>
      </c>
      <c r="K700" s="3">
        <v>19</v>
      </c>
      <c r="L700" s="4">
        <v>69</v>
      </c>
      <c r="M700" s="4">
        <f t="shared" si="10"/>
        <v>1311</v>
      </c>
    </row>
    <row r="701" spans="1:13" ht="15.75" customHeight="1">
      <c r="A701" s="1" t="s">
        <v>1548</v>
      </c>
      <c r="B701" s="1" t="str">
        <f>"019520061460"</f>
        <v>019520061460</v>
      </c>
      <c r="C701" s="1" t="s">
        <v>1549</v>
      </c>
      <c r="D701" s="2" t="s">
        <v>1550</v>
      </c>
      <c r="E701" s="1" t="s">
        <v>1539</v>
      </c>
      <c r="F701" s="1" t="s">
        <v>2868</v>
      </c>
      <c r="G701" s="1" t="s">
        <v>2211</v>
      </c>
      <c r="H701" s="1" t="s">
        <v>1551</v>
      </c>
      <c r="I701" s="1" t="s">
        <v>2220</v>
      </c>
      <c r="J701" s="1" t="s">
        <v>1324</v>
      </c>
      <c r="K701" s="3">
        <v>7</v>
      </c>
      <c r="L701" s="4">
        <v>69</v>
      </c>
      <c r="M701" s="4">
        <f t="shared" si="10"/>
        <v>483</v>
      </c>
    </row>
    <row r="702" spans="1:13" ht="15.75" customHeight="1">
      <c r="A702" s="1" t="s">
        <v>1552</v>
      </c>
      <c r="B702" s="1" t="str">
        <f>"019520061453"</f>
        <v>019520061453</v>
      </c>
      <c r="C702" s="1" t="s">
        <v>1553</v>
      </c>
      <c r="D702" s="2" t="s">
        <v>1550</v>
      </c>
      <c r="E702" s="1" t="s">
        <v>1539</v>
      </c>
      <c r="F702" s="1" t="s">
        <v>2868</v>
      </c>
      <c r="G702" s="1" t="s">
        <v>2411</v>
      </c>
      <c r="H702" s="1" t="s">
        <v>1551</v>
      </c>
      <c r="I702" s="1" t="s">
        <v>2220</v>
      </c>
      <c r="J702" s="1" t="s">
        <v>1324</v>
      </c>
      <c r="K702" s="3">
        <v>13</v>
      </c>
      <c r="L702" s="4">
        <v>69</v>
      </c>
      <c r="M702" s="4">
        <f t="shared" si="10"/>
        <v>897</v>
      </c>
    </row>
    <row r="703" spans="1:13" ht="15.75" customHeight="1">
      <c r="A703" s="1" t="s">
        <v>1554</v>
      </c>
      <c r="B703" s="1" t="str">
        <f>"019520061446"</f>
        <v>019520061446</v>
      </c>
      <c r="C703" s="1" t="s">
        <v>1555</v>
      </c>
      <c r="D703" s="2" t="s">
        <v>1550</v>
      </c>
      <c r="E703" s="1" t="s">
        <v>1539</v>
      </c>
      <c r="F703" s="1" t="s">
        <v>2868</v>
      </c>
      <c r="G703" s="1" t="s">
        <v>2219</v>
      </c>
      <c r="H703" s="1" t="s">
        <v>1551</v>
      </c>
      <c r="I703" s="1" t="s">
        <v>2220</v>
      </c>
      <c r="J703" s="1" t="s">
        <v>1324</v>
      </c>
      <c r="K703" s="3">
        <v>25</v>
      </c>
      <c r="L703" s="4">
        <v>69</v>
      </c>
      <c r="M703" s="4">
        <f t="shared" si="10"/>
        <v>1725</v>
      </c>
    </row>
    <row r="704" spans="1:13" ht="15.75" customHeight="1">
      <c r="A704" s="1" t="s">
        <v>1556</v>
      </c>
      <c r="B704" s="1" t="str">
        <f>"841314196726"</f>
        <v>841314196726</v>
      </c>
      <c r="C704" s="1" t="s">
        <v>1557</v>
      </c>
      <c r="D704" s="2" t="s">
        <v>1558</v>
      </c>
      <c r="E704" s="1" t="s">
        <v>1539</v>
      </c>
      <c r="F704" s="1" t="s">
        <v>1559</v>
      </c>
      <c r="G704" s="1" t="s">
        <v>2211</v>
      </c>
      <c r="H704" s="1" t="s">
        <v>1560</v>
      </c>
      <c r="I704" s="1" t="s">
        <v>2220</v>
      </c>
      <c r="J704" s="1" t="s">
        <v>1324</v>
      </c>
      <c r="K704" s="3">
        <v>41</v>
      </c>
      <c r="L704" s="4">
        <v>69</v>
      </c>
      <c r="M704" s="4">
        <f t="shared" si="10"/>
        <v>2829</v>
      </c>
    </row>
    <row r="705" spans="1:13" ht="15.75" customHeight="1">
      <c r="A705" s="1" t="s">
        <v>1561</v>
      </c>
      <c r="B705" s="1" t="str">
        <f>"841314196719"</f>
        <v>841314196719</v>
      </c>
      <c r="C705" s="1" t="s">
        <v>1562</v>
      </c>
      <c r="D705" s="2" t="s">
        <v>1558</v>
      </c>
      <c r="E705" s="1" t="s">
        <v>1539</v>
      </c>
      <c r="F705" s="1" t="s">
        <v>1559</v>
      </c>
      <c r="G705" s="1" t="s">
        <v>2411</v>
      </c>
      <c r="H705" s="1" t="s">
        <v>1560</v>
      </c>
      <c r="I705" s="1" t="s">
        <v>2220</v>
      </c>
      <c r="J705" s="1" t="s">
        <v>1324</v>
      </c>
      <c r="K705" s="3">
        <v>27</v>
      </c>
      <c r="L705" s="4">
        <v>69</v>
      </c>
      <c r="M705" s="4">
        <f t="shared" si="10"/>
        <v>1863</v>
      </c>
    </row>
    <row r="706" spans="1:13" ht="15.75" customHeight="1">
      <c r="A706" s="1" t="s">
        <v>1563</v>
      </c>
      <c r="B706" s="1" t="str">
        <f>"841314196702"</f>
        <v>841314196702</v>
      </c>
      <c r="C706" s="1" t="s">
        <v>1564</v>
      </c>
      <c r="D706" s="2" t="s">
        <v>1558</v>
      </c>
      <c r="E706" s="1" t="s">
        <v>1539</v>
      </c>
      <c r="F706" s="1" t="s">
        <v>1559</v>
      </c>
      <c r="G706" s="1" t="s">
        <v>2219</v>
      </c>
      <c r="H706" s="1" t="s">
        <v>1560</v>
      </c>
      <c r="I706" s="1" t="s">
        <v>2220</v>
      </c>
      <c r="J706" s="1" t="s">
        <v>1324</v>
      </c>
      <c r="K706" s="3">
        <v>21</v>
      </c>
      <c r="L706" s="4">
        <v>69</v>
      </c>
      <c r="M706" s="4">
        <f t="shared" ref="M706:M769" si="12">L706*K706</f>
        <v>1449</v>
      </c>
    </row>
    <row r="707" spans="1:13" ht="15.75" customHeight="1">
      <c r="A707" s="1" t="s">
        <v>1565</v>
      </c>
      <c r="B707" s="1" t="str">
        <f>"195206103850"</f>
        <v>195206103850</v>
      </c>
      <c r="C707" s="1" t="s">
        <v>1566</v>
      </c>
      <c r="D707" s="2" t="s">
        <v>1567</v>
      </c>
      <c r="E707" s="1" t="s">
        <v>1539</v>
      </c>
      <c r="F707" s="1" t="s">
        <v>2210</v>
      </c>
      <c r="G707" s="1" t="s">
        <v>2211</v>
      </c>
      <c r="H707" s="1" t="s">
        <v>1568</v>
      </c>
      <c r="I707" s="1" t="s">
        <v>2220</v>
      </c>
      <c r="J707" s="1" t="s">
        <v>1226</v>
      </c>
      <c r="K707" s="3">
        <v>20</v>
      </c>
      <c r="L707" s="4">
        <v>49</v>
      </c>
      <c r="M707" s="4">
        <f t="shared" si="12"/>
        <v>980</v>
      </c>
    </row>
    <row r="708" spans="1:13" ht="15.75" customHeight="1">
      <c r="A708" s="1" t="s">
        <v>1569</v>
      </c>
      <c r="B708" s="1" t="str">
        <f>"195206103843"</f>
        <v>195206103843</v>
      </c>
      <c r="C708" s="1" t="s">
        <v>1570</v>
      </c>
      <c r="D708" s="2" t="s">
        <v>1567</v>
      </c>
      <c r="E708" s="1" t="s">
        <v>1539</v>
      </c>
      <c r="F708" s="1" t="s">
        <v>2210</v>
      </c>
      <c r="G708" s="1" t="s">
        <v>2411</v>
      </c>
      <c r="H708" s="1" t="s">
        <v>1568</v>
      </c>
      <c r="I708" s="1" t="s">
        <v>2220</v>
      </c>
      <c r="J708" s="1" t="s">
        <v>1226</v>
      </c>
      <c r="K708" s="3">
        <v>14</v>
      </c>
      <c r="L708" s="4">
        <v>49</v>
      </c>
      <c r="M708" s="4">
        <f t="shared" si="12"/>
        <v>686</v>
      </c>
    </row>
    <row r="709" spans="1:13" ht="15.75" customHeight="1">
      <c r="A709" s="1" t="s">
        <v>1571</v>
      </c>
      <c r="B709" s="1" t="str">
        <f>"195206103867"</f>
        <v>195206103867</v>
      </c>
      <c r="C709" s="1" t="s">
        <v>1572</v>
      </c>
      <c r="D709" s="2" t="s">
        <v>1567</v>
      </c>
      <c r="E709" s="1" t="s">
        <v>1539</v>
      </c>
      <c r="F709" s="1" t="s">
        <v>2210</v>
      </c>
      <c r="G709" s="1" t="s">
        <v>2418</v>
      </c>
      <c r="H709" s="1" t="s">
        <v>1568</v>
      </c>
      <c r="I709" s="1" t="s">
        <v>2220</v>
      </c>
      <c r="J709" s="1" t="s">
        <v>1226</v>
      </c>
      <c r="K709" s="3">
        <v>54</v>
      </c>
      <c r="L709" s="4">
        <v>49</v>
      </c>
      <c r="M709" s="4">
        <f t="shared" si="12"/>
        <v>2646</v>
      </c>
    </row>
    <row r="710" spans="1:13" ht="15.75" customHeight="1">
      <c r="A710" s="1" t="s">
        <v>1573</v>
      </c>
      <c r="B710" s="1" t="str">
        <f>"195206106523"</f>
        <v>195206106523</v>
      </c>
      <c r="C710" s="1" t="s">
        <v>1574</v>
      </c>
      <c r="D710" s="2" t="s">
        <v>1575</v>
      </c>
      <c r="E710" s="1" t="s">
        <v>1539</v>
      </c>
      <c r="F710" s="1" t="s">
        <v>2516</v>
      </c>
      <c r="G710" s="1" t="s">
        <v>2405</v>
      </c>
      <c r="H710" s="1" t="s">
        <v>1568</v>
      </c>
      <c r="I710" s="1" t="s">
        <v>2220</v>
      </c>
      <c r="J710" s="1" t="s">
        <v>1226</v>
      </c>
      <c r="K710" s="3">
        <v>20</v>
      </c>
      <c r="L710" s="4">
        <v>49</v>
      </c>
      <c r="M710" s="4">
        <f t="shared" si="12"/>
        <v>980</v>
      </c>
    </row>
    <row r="711" spans="1:13" ht="15.75" customHeight="1">
      <c r="A711" s="1" t="s">
        <v>107</v>
      </c>
      <c r="B711" s="1" t="str">
        <f>"195206106509"</f>
        <v>195206106509</v>
      </c>
      <c r="C711" s="1" t="s">
        <v>108</v>
      </c>
      <c r="D711" s="2" t="s">
        <v>1575</v>
      </c>
      <c r="E711" s="1" t="s">
        <v>1539</v>
      </c>
      <c r="F711" s="1" t="s">
        <v>2516</v>
      </c>
      <c r="G711" s="1" t="s">
        <v>2211</v>
      </c>
      <c r="H711" s="1" t="s">
        <v>1568</v>
      </c>
      <c r="I711" s="1" t="s">
        <v>2220</v>
      </c>
      <c r="J711" s="1" t="s">
        <v>1226</v>
      </c>
      <c r="K711" s="3">
        <v>63</v>
      </c>
      <c r="L711" s="4">
        <v>49</v>
      </c>
      <c r="M711" s="4">
        <f t="shared" si="12"/>
        <v>3087</v>
      </c>
    </row>
    <row r="712" spans="1:13" ht="15.75" customHeight="1">
      <c r="A712" s="1" t="s">
        <v>109</v>
      </c>
      <c r="B712" s="1" t="str">
        <f>"195206106493"</f>
        <v>195206106493</v>
      </c>
      <c r="C712" s="1" t="s">
        <v>110</v>
      </c>
      <c r="D712" s="2" t="s">
        <v>1575</v>
      </c>
      <c r="E712" s="1" t="s">
        <v>1539</v>
      </c>
      <c r="F712" s="1" t="s">
        <v>2516</v>
      </c>
      <c r="G712" s="1" t="s">
        <v>2411</v>
      </c>
      <c r="H712" s="1" t="s">
        <v>1568</v>
      </c>
      <c r="I712" s="1" t="s">
        <v>2220</v>
      </c>
      <c r="J712" s="1" t="s">
        <v>1226</v>
      </c>
      <c r="K712" s="3">
        <v>20</v>
      </c>
      <c r="L712" s="4">
        <v>49</v>
      </c>
      <c r="M712" s="4">
        <f t="shared" si="12"/>
        <v>980</v>
      </c>
    </row>
    <row r="713" spans="1:13" ht="15.75" customHeight="1">
      <c r="A713" s="1" t="s">
        <v>111</v>
      </c>
      <c r="B713" s="1" t="str">
        <f>"195206106516"</f>
        <v>195206106516</v>
      </c>
      <c r="C713" s="1" t="s">
        <v>112</v>
      </c>
      <c r="D713" s="2" t="s">
        <v>1575</v>
      </c>
      <c r="E713" s="1" t="s">
        <v>1539</v>
      </c>
      <c r="F713" s="1" t="s">
        <v>2516</v>
      </c>
      <c r="G713" s="1" t="s">
        <v>2418</v>
      </c>
      <c r="H713" s="1" t="s">
        <v>1568</v>
      </c>
      <c r="I713" s="1" t="s">
        <v>2220</v>
      </c>
      <c r="J713" s="1" t="s">
        <v>1226</v>
      </c>
      <c r="K713" s="3">
        <v>36</v>
      </c>
      <c r="L713" s="4">
        <v>49</v>
      </c>
      <c r="M713" s="4">
        <f t="shared" si="12"/>
        <v>1764</v>
      </c>
    </row>
    <row r="714" spans="1:13" ht="15.75" customHeight="1">
      <c r="A714" s="1" t="s">
        <v>113</v>
      </c>
      <c r="B714" s="1" t="str">
        <f>"887364005335"</f>
        <v>887364005335</v>
      </c>
      <c r="C714" s="1" t="s">
        <v>114</v>
      </c>
      <c r="D714" s="2" t="s">
        <v>115</v>
      </c>
      <c r="E714" s="1" t="s">
        <v>116</v>
      </c>
      <c r="F714" s="1" t="s">
        <v>2210</v>
      </c>
      <c r="G714" s="1" t="s">
        <v>2411</v>
      </c>
      <c r="H714" s="1" t="s">
        <v>117</v>
      </c>
      <c r="I714" s="1" t="s">
        <v>2220</v>
      </c>
      <c r="J714" s="1" t="s">
        <v>2827</v>
      </c>
      <c r="K714" s="3">
        <v>11</v>
      </c>
      <c r="L714" s="4">
        <v>49.99</v>
      </c>
      <c r="M714" s="4">
        <f t="shared" si="12"/>
        <v>549.89</v>
      </c>
    </row>
    <row r="715" spans="1:13" ht="15.75" customHeight="1">
      <c r="A715" s="1" t="s">
        <v>118</v>
      </c>
      <c r="B715" s="1" t="str">
        <f>"887364005144"</f>
        <v>887364005144</v>
      </c>
      <c r="C715" s="1" t="s">
        <v>119</v>
      </c>
      <c r="D715" s="2" t="s">
        <v>120</v>
      </c>
      <c r="E715" s="1" t="s">
        <v>116</v>
      </c>
      <c r="F715" s="1" t="s">
        <v>2210</v>
      </c>
      <c r="G715" s="1" t="s">
        <v>2211</v>
      </c>
      <c r="H715" s="1" t="s">
        <v>121</v>
      </c>
      <c r="I715" s="1" t="s">
        <v>2220</v>
      </c>
      <c r="J715" s="1" t="s">
        <v>2827</v>
      </c>
      <c r="K715" s="3">
        <v>37</v>
      </c>
      <c r="L715" s="4">
        <v>49.99</v>
      </c>
      <c r="M715" s="4">
        <f t="shared" si="12"/>
        <v>1849.63</v>
      </c>
    </row>
    <row r="716" spans="1:13" ht="15.75" customHeight="1">
      <c r="A716" s="1" t="s">
        <v>122</v>
      </c>
      <c r="B716" s="1" t="str">
        <f>"766159496636"</f>
        <v>766159496636</v>
      </c>
      <c r="C716" s="1" t="s">
        <v>123</v>
      </c>
      <c r="D716" s="2" t="s">
        <v>124</v>
      </c>
      <c r="E716" s="1" t="s">
        <v>125</v>
      </c>
      <c r="F716" s="1" t="s">
        <v>126</v>
      </c>
      <c r="G716" s="1" t="s">
        <v>2211</v>
      </c>
      <c r="H716" s="1" t="s">
        <v>127</v>
      </c>
      <c r="I716" s="1" t="s">
        <v>2220</v>
      </c>
      <c r="J716" s="1" t="s">
        <v>128</v>
      </c>
      <c r="K716" s="3">
        <v>9</v>
      </c>
      <c r="L716" s="4">
        <v>34</v>
      </c>
      <c r="M716" s="4">
        <f t="shared" si="12"/>
        <v>306</v>
      </c>
    </row>
    <row r="717" spans="1:13" ht="15.75" customHeight="1">
      <c r="A717" s="1" t="s">
        <v>129</v>
      </c>
      <c r="B717" s="1" t="str">
        <f>"195735227416"</f>
        <v>195735227416</v>
      </c>
      <c r="C717" s="1" t="s">
        <v>130</v>
      </c>
      <c r="D717" s="2"/>
      <c r="E717" s="1" t="s">
        <v>125</v>
      </c>
      <c r="F717" s="1" t="s">
        <v>131</v>
      </c>
      <c r="G717" s="1" t="s">
        <v>2405</v>
      </c>
      <c r="H717" s="1" t="s">
        <v>132</v>
      </c>
      <c r="I717" s="1" t="s">
        <v>2220</v>
      </c>
      <c r="J717" s="1" t="s">
        <v>133</v>
      </c>
      <c r="K717" s="3">
        <v>2</v>
      </c>
      <c r="L717" s="4">
        <v>45</v>
      </c>
      <c r="M717" s="4">
        <f t="shared" si="12"/>
        <v>90</v>
      </c>
    </row>
    <row r="718" spans="1:13" ht="15.75" customHeight="1">
      <c r="A718" s="1" t="s">
        <v>134</v>
      </c>
      <c r="B718" s="1" t="str">
        <f>"196067150403"</f>
        <v>196067150403</v>
      </c>
      <c r="C718" s="1" t="s">
        <v>135</v>
      </c>
      <c r="D718" s="2" t="s">
        <v>136</v>
      </c>
      <c r="E718" s="1" t="s">
        <v>125</v>
      </c>
      <c r="F718" s="1" t="s">
        <v>2210</v>
      </c>
      <c r="G718" s="1" t="s">
        <v>2219</v>
      </c>
      <c r="H718" s="1" t="s">
        <v>137</v>
      </c>
      <c r="I718" s="1" t="s">
        <v>2257</v>
      </c>
      <c r="J718" s="1" t="s">
        <v>2221</v>
      </c>
      <c r="K718" s="3">
        <v>18</v>
      </c>
      <c r="L718" s="4">
        <v>45</v>
      </c>
      <c r="M718" s="4">
        <f t="shared" si="12"/>
        <v>810</v>
      </c>
    </row>
    <row r="719" spans="1:13" ht="15.75" customHeight="1">
      <c r="A719" s="1" t="s">
        <v>138</v>
      </c>
      <c r="B719" s="1" t="str">
        <f>"195742625564"</f>
        <v>195742625564</v>
      </c>
      <c r="C719" s="1" t="s">
        <v>139</v>
      </c>
      <c r="D719" s="2" t="s">
        <v>140</v>
      </c>
      <c r="E719" s="1" t="s">
        <v>125</v>
      </c>
      <c r="F719" s="1" t="s">
        <v>141</v>
      </c>
      <c r="G719" s="1" t="s">
        <v>2211</v>
      </c>
      <c r="H719" s="1" t="s">
        <v>142</v>
      </c>
      <c r="I719" s="1" t="s">
        <v>2257</v>
      </c>
      <c r="J719" s="1" t="s">
        <v>2815</v>
      </c>
      <c r="K719" s="3">
        <v>25</v>
      </c>
      <c r="L719" s="4">
        <v>60</v>
      </c>
      <c r="M719" s="4">
        <f t="shared" si="12"/>
        <v>1500</v>
      </c>
    </row>
    <row r="720" spans="1:13" ht="15.75" customHeight="1">
      <c r="A720" s="1" t="s">
        <v>143</v>
      </c>
      <c r="B720" s="1" t="str">
        <f>"195742625656"</f>
        <v>195742625656</v>
      </c>
      <c r="C720" s="1" t="s">
        <v>144</v>
      </c>
      <c r="D720" s="2" t="s">
        <v>140</v>
      </c>
      <c r="E720" s="1" t="s">
        <v>125</v>
      </c>
      <c r="F720" s="1" t="s">
        <v>141</v>
      </c>
      <c r="G720" s="1" t="s">
        <v>2219</v>
      </c>
      <c r="H720" s="1" t="s">
        <v>142</v>
      </c>
      <c r="I720" s="1" t="s">
        <v>2257</v>
      </c>
      <c r="J720" s="1" t="s">
        <v>2815</v>
      </c>
      <c r="K720" s="3">
        <v>6</v>
      </c>
      <c r="L720" s="4">
        <v>60</v>
      </c>
      <c r="M720" s="4">
        <f t="shared" si="12"/>
        <v>360</v>
      </c>
    </row>
    <row r="721" spans="1:13" ht="15.75" customHeight="1">
      <c r="A721" s="1" t="s">
        <v>145</v>
      </c>
      <c r="B721" s="1" t="str">
        <f>"195742625571"</f>
        <v>195742625571</v>
      </c>
      <c r="C721" s="1" t="s">
        <v>146</v>
      </c>
      <c r="D721" s="2" t="s">
        <v>140</v>
      </c>
      <c r="E721" s="1" t="s">
        <v>125</v>
      </c>
      <c r="F721" s="1" t="s">
        <v>141</v>
      </c>
      <c r="G721" s="1" t="s">
        <v>2418</v>
      </c>
      <c r="H721" s="1" t="s">
        <v>142</v>
      </c>
      <c r="I721" s="1" t="s">
        <v>2257</v>
      </c>
      <c r="J721" s="1" t="s">
        <v>2815</v>
      </c>
      <c r="K721" s="3">
        <v>10</v>
      </c>
      <c r="L721" s="4">
        <v>60</v>
      </c>
      <c r="M721" s="4">
        <f t="shared" si="12"/>
        <v>600</v>
      </c>
    </row>
    <row r="722" spans="1:13" ht="15.75" customHeight="1">
      <c r="A722" s="1" t="s">
        <v>147</v>
      </c>
      <c r="B722" s="1" t="str">
        <f>"195744757669"</f>
        <v>195744757669</v>
      </c>
      <c r="C722" s="1" t="s">
        <v>148</v>
      </c>
      <c r="D722" s="2" t="s">
        <v>149</v>
      </c>
      <c r="E722" s="1" t="s">
        <v>125</v>
      </c>
      <c r="F722" s="1" t="s">
        <v>141</v>
      </c>
      <c r="G722" s="1" t="s">
        <v>2411</v>
      </c>
      <c r="H722" s="1" t="s">
        <v>150</v>
      </c>
      <c r="I722" s="1" t="s">
        <v>2257</v>
      </c>
      <c r="J722" s="1" t="s">
        <v>2815</v>
      </c>
      <c r="K722" s="3">
        <v>48</v>
      </c>
      <c r="L722" s="4">
        <v>65</v>
      </c>
      <c r="M722" s="4">
        <f t="shared" si="12"/>
        <v>3120</v>
      </c>
    </row>
    <row r="723" spans="1:13" ht="15.75" customHeight="1">
      <c r="A723" s="1" t="s">
        <v>151</v>
      </c>
      <c r="B723" s="1" t="str">
        <f>"195744757690"</f>
        <v>195744757690</v>
      </c>
      <c r="C723" s="1" t="s">
        <v>152</v>
      </c>
      <c r="D723" s="2" t="s">
        <v>149</v>
      </c>
      <c r="E723" s="1" t="s">
        <v>125</v>
      </c>
      <c r="F723" s="1" t="s">
        <v>141</v>
      </c>
      <c r="G723" s="1" t="s">
        <v>2219</v>
      </c>
      <c r="H723" s="1" t="s">
        <v>150</v>
      </c>
      <c r="I723" s="1" t="s">
        <v>2257</v>
      </c>
      <c r="J723" s="1" t="s">
        <v>2815</v>
      </c>
      <c r="K723" s="3">
        <v>1</v>
      </c>
      <c r="L723" s="4">
        <v>65</v>
      </c>
      <c r="M723" s="4">
        <f t="shared" si="12"/>
        <v>65</v>
      </c>
    </row>
    <row r="724" spans="1:13" ht="15.75" customHeight="1">
      <c r="A724" s="1" t="s">
        <v>153</v>
      </c>
      <c r="B724" s="1" t="str">
        <f>"195744757614"</f>
        <v>195744757614</v>
      </c>
      <c r="C724" s="1" t="s">
        <v>154</v>
      </c>
      <c r="D724" s="2" t="s">
        <v>149</v>
      </c>
      <c r="E724" s="1" t="s">
        <v>125</v>
      </c>
      <c r="F724" s="1" t="s">
        <v>141</v>
      </c>
      <c r="G724" s="1" t="s">
        <v>2418</v>
      </c>
      <c r="H724" s="1" t="s">
        <v>150</v>
      </c>
      <c r="I724" s="1" t="s">
        <v>2257</v>
      </c>
      <c r="J724" s="1" t="s">
        <v>2815</v>
      </c>
      <c r="K724" s="3">
        <v>11</v>
      </c>
      <c r="L724" s="4">
        <v>65</v>
      </c>
      <c r="M724" s="4">
        <f t="shared" si="12"/>
        <v>715</v>
      </c>
    </row>
    <row r="725" spans="1:13" ht="15.75" customHeight="1">
      <c r="A725" s="1" t="s">
        <v>155</v>
      </c>
      <c r="B725" s="1" t="str">
        <f>"197675888771"</f>
        <v>197675888771</v>
      </c>
      <c r="C725" s="1" t="s">
        <v>156</v>
      </c>
      <c r="D725" s="2" t="s">
        <v>157</v>
      </c>
      <c r="E725" s="1" t="s">
        <v>125</v>
      </c>
      <c r="F725" s="1" t="s">
        <v>2210</v>
      </c>
      <c r="G725" s="1" t="s">
        <v>2211</v>
      </c>
      <c r="H725" s="1" t="s">
        <v>158</v>
      </c>
      <c r="I725" s="1" t="s">
        <v>2257</v>
      </c>
      <c r="J725" s="1" t="s">
        <v>2815</v>
      </c>
      <c r="K725" s="3">
        <v>17</v>
      </c>
      <c r="L725" s="4">
        <v>95</v>
      </c>
      <c r="M725" s="4">
        <f t="shared" si="12"/>
        <v>1615</v>
      </c>
    </row>
    <row r="726" spans="1:13" ht="15.75" customHeight="1">
      <c r="A726" s="1" t="s">
        <v>159</v>
      </c>
      <c r="B726" s="1" t="str">
        <f>"197675888764"</f>
        <v>197675888764</v>
      </c>
      <c r="C726" s="1" t="s">
        <v>160</v>
      </c>
      <c r="D726" s="2" t="s">
        <v>157</v>
      </c>
      <c r="E726" s="1" t="s">
        <v>125</v>
      </c>
      <c r="F726" s="1" t="s">
        <v>2210</v>
      </c>
      <c r="G726" s="1" t="s">
        <v>2411</v>
      </c>
      <c r="H726" s="1" t="s">
        <v>158</v>
      </c>
      <c r="I726" s="1" t="s">
        <v>2257</v>
      </c>
      <c r="J726" s="1" t="s">
        <v>2815</v>
      </c>
      <c r="K726" s="3">
        <v>42</v>
      </c>
      <c r="L726" s="4">
        <v>95</v>
      </c>
      <c r="M726" s="4">
        <f t="shared" si="12"/>
        <v>3990</v>
      </c>
    </row>
    <row r="727" spans="1:13" ht="15.75" customHeight="1">
      <c r="A727" s="1" t="s">
        <v>161</v>
      </c>
      <c r="B727" s="1" t="str">
        <f>"197675888757"</f>
        <v>197675888757</v>
      </c>
      <c r="C727" s="1" t="s">
        <v>162</v>
      </c>
      <c r="D727" s="2" t="s">
        <v>157</v>
      </c>
      <c r="E727" s="1" t="s">
        <v>125</v>
      </c>
      <c r="F727" s="1" t="s">
        <v>2210</v>
      </c>
      <c r="G727" s="1" t="s">
        <v>2219</v>
      </c>
      <c r="H727" s="1" t="s">
        <v>158</v>
      </c>
      <c r="I727" s="1" t="s">
        <v>2257</v>
      </c>
      <c r="J727" s="1" t="s">
        <v>2815</v>
      </c>
      <c r="K727" s="3">
        <v>16</v>
      </c>
      <c r="L727" s="4">
        <v>95</v>
      </c>
      <c r="M727" s="4">
        <f t="shared" si="12"/>
        <v>1520</v>
      </c>
    </row>
    <row r="728" spans="1:13" ht="15.75" customHeight="1">
      <c r="A728" s="1" t="s">
        <v>163</v>
      </c>
      <c r="B728" s="1" t="str">
        <f>"197675711673"</f>
        <v>197675711673</v>
      </c>
      <c r="C728" s="1" t="s">
        <v>164</v>
      </c>
      <c r="D728" s="2" t="s">
        <v>165</v>
      </c>
      <c r="E728" s="1" t="s">
        <v>125</v>
      </c>
      <c r="F728" s="1" t="s">
        <v>2210</v>
      </c>
      <c r="G728" s="1" t="s">
        <v>2211</v>
      </c>
      <c r="H728" s="1" t="s">
        <v>166</v>
      </c>
      <c r="I728" s="1" t="s">
        <v>2220</v>
      </c>
      <c r="J728" s="1" t="s">
        <v>2815</v>
      </c>
      <c r="K728" s="3">
        <v>20</v>
      </c>
      <c r="L728" s="4">
        <v>95</v>
      </c>
      <c r="M728" s="4">
        <f t="shared" si="12"/>
        <v>1900</v>
      </c>
    </row>
    <row r="729" spans="1:13" ht="15.75" customHeight="1">
      <c r="A729" s="1" t="s">
        <v>167</v>
      </c>
      <c r="B729" s="1" t="str">
        <f>"197675711680"</f>
        <v>197675711680</v>
      </c>
      <c r="C729" s="1" t="s">
        <v>168</v>
      </c>
      <c r="D729" s="2" t="s">
        <v>165</v>
      </c>
      <c r="E729" s="1" t="s">
        <v>125</v>
      </c>
      <c r="F729" s="1" t="s">
        <v>2210</v>
      </c>
      <c r="G729" s="1" t="s">
        <v>2418</v>
      </c>
      <c r="H729" s="1" t="s">
        <v>166</v>
      </c>
      <c r="I729" s="1" t="s">
        <v>2220</v>
      </c>
      <c r="J729" s="1" t="s">
        <v>2815</v>
      </c>
      <c r="K729" s="3">
        <v>10</v>
      </c>
      <c r="L729" s="4">
        <v>95</v>
      </c>
      <c r="M729" s="4">
        <f t="shared" si="12"/>
        <v>950</v>
      </c>
    </row>
    <row r="730" spans="1:13" ht="15.75" customHeight="1">
      <c r="A730" s="1" t="s">
        <v>169</v>
      </c>
      <c r="B730" s="1" t="str">
        <f>"197675711482"</f>
        <v>197675711482</v>
      </c>
      <c r="C730" s="1" t="s">
        <v>170</v>
      </c>
      <c r="D730" s="2" t="s">
        <v>171</v>
      </c>
      <c r="E730" s="1" t="s">
        <v>125</v>
      </c>
      <c r="F730" s="1" t="s">
        <v>172</v>
      </c>
      <c r="G730" s="1" t="s">
        <v>2405</v>
      </c>
      <c r="H730" s="1" t="s">
        <v>166</v>
      </c>
      <c r="I730" s="1" t="s">
        <v>2220</v>
      </c>
      <c r="J730" s="1" t="s">
        <v>2815</v>
      </c>
      <c r="K730" s="3">
        <v>1</v>
      </c>
      <c r="L730" s="4">
        <v>95</v>
      </c>
      <c r="M730" s="4">
        <f t="shared" si="12"/>
        <v>95</v>
      </c>
    </row>
    <row r="731" spans="1:13" ht="15.75" customHeight="1">
      <c r="A731" s="1" t="s">
        <v>173</v>
      </c>
      <c r="B731" s="1" t="str">
        <f>"197675711468"</f>
        <v>197675711468</v>
      </c>
      <c r="C731" s="1" t="s">
        <v>174</v>
      </c>
      <c r="D731" s="2" t="s">
        <v>171</v>
      </c>
      <c r="E731" s="1" t="s">
        <v>125</v>
      </c>
      <c r="F731" s="1" t="s">
        <v>172</v>
      </c>
      <c r="G731" s="1" t="s">
        <v>2211</v>
      </c>
      <c r="H731" s="1" t="s">
        <v>166</v>
      </c>
      <c r="I731" s="1" t="s">
        <v>2220</v>
      </c>
      <c r="J731" s="1" t="s">
        <v>2815</v>
      </c>
      <c r="K731" s="3">
        <v>5</v>
      </c>
      <c r="L731" s="4">
        <v>95</v>
      </c>
      <c r="M731" s="4">
        <f t="shared" si="12"/>
        <v>475</v>
      </c>
    </row>
    <row r="732" spans="1:13" ht="15.75" customHeight="1">
      <c r="A732" s="1" t="s">
        <v>175</v>
      </c>
      <c r="B732" s="1" t="str">
        <f>"197675711475"</f>
        <v>197675711475</v>
      </c>
      <c r="C732" s="1" t="s">
        <v>176</v>
      </c>
      <c r="D732" s="2" t="s">
        <v>171</v>
      </c>
      <c r="E732" s="1" t="s">
        <v>125</v>
      </c>
      <c r="F732" s="1" t="s">
        <v>172</v>
      </c>
      <c r="G732" s="1" t="s">
        <v>2418</v>
      </c>
      <c r="H732" s="1" t="s">
        <v>166</v>
      </c>
      <c r="I732" s="1" t="s">
        <v>2220</v>
      </c>
      <c r="J732" s="1" t="s">
        <v>2815</v>
      </c>
      <c r="K732" s="3">
        <v>1</v>
      </c>
      <c r="L732" s="4">
        <v>95</v>
      </c>
      <c r="M732" s="4">
        <f t="shared" si="12"/>
        <v>95</v>
      </c>
    </row>
    <row r="733" spans="1:13" ht="15.75" customHeight="1">
      <c r="A733" s="1" t="s">
        <v>177</v>
      </c>
      <c r="B733" s="1" t="str">
        <f>"197675711543"</f>
        <v>197675711543</v>
      </c>
      <c r="C733" s="1" t="s">
        <v>178</v>
      </c>
      <c r="D733" s="2" t="s">
        <v>179</v>
      </c>
      <c r="E733" s="1" t="s">
        <v>125</v>
      </c>
      <c r="F733" s="1" t="s">
        <v>877</v>
      </c>
      <c r="G733" s="1" t="s">
        <v>2405</v>
      </c>
      <c r="H733" s="1" t="s">
        <v>166</v>
      </c>
      <c r="I733" s="1" t="s">
        <v>2220</v>
      </c>
      <c r="J733" s="1" t="s">
        <v>2815</v>
      </c>
      <c r="K733" s="3">
        <v>2</v>
      </c>
      <c r="L733" s="4">
        <v>95</v>
      </c>
      <c r="M733" s="4">
        <f t="shared" si="12"/>
        <v>190</v>
      </c>
    </row>
    <row r="734" spans="1:13" ht="15.75" customHeight="1">
      <c r="A734" s="1" t="s">
        <v>180</v>
      </c>
      <c r="B734" s="1" t="str">
        <f>"197675711529"</f>
        <v>197675711529</v>
      </c>
      <c r="C734" s="1" t="s">
        <v>181</v>
      </c>
      <c r="D734" s="2" t="s">
        <v>179</v>
      </c>
      <c r="E734" s="1" t="s">
        <v>125</v>
      </c>
      <c r="F734" s="1" t="s">
        <v>877</v>
      </c>
      <c r="G734" s="1" t="s">
        <v>2211</v>
      </c>
      <c r="H734" s="1" t="s">
        <v>166</v>
      </c>
      <c r="I734" s="1" t="s">
        <v>2220</v>
      </c>
      <c r="J734" s="1" t="s">
        <v>2815</v>
      </c>
      <c r="K734" s="3">
        <v>14</v>
      </c>
      <c r="L734" s="4">
        <v>95</v>
      </c>
      <c r="M734" s="4">
        <f t="shared" si="12"/>
        <v>1330</v>
      </c>
    </row>
    <row r="735" spans="1:13" ht="15.75" customHeight="1">
      <c r="A735" s="1" t="s">
        <v>182</v>
      </c>
      <c r="B735" s="1" t="str">
        <f>"197675711536"</f>
        <v>197675711536</v>
      </c>
      <c r="C735" s="1" t="s">
        <v>183</v>
      </c>
      <c r="D735" s="2" t="s">
        <v>179</v>
      </c>
      <c r="E735" s="1" t="s">
        <v>125</v>
      </c>
      <c r="F735" s="1" t="s">
        <v>877</v>
      </c>
      <c r="G735" s="1" t="s">
        <v>2418</v>
      </c>
      <c r="H735" s="1" t="s">
        <v>166</v>
      </c>
      <c r="I735" s="1" t="s">
        <v>2220</v>
      </c>
      <c r="J735" s="1" t="s">
        <v>2815</v>
      </c>
      <c r="K735" s="3">
        <v>6</v>
      </c>
      <c r="L735" s="4">
        <v>95</v>
      </c>
      <c r="M735" s="4">
        <f t="shared" si="12"/>
        <v>570</v>
      </c>
    </row>
    <row r="736" spans="1:13" ht="15.75" customHeight="1">
      <c r="A736" s="1" t="s">
        <v>184</v>
      </c>
      <c r="B736" s="1" t="str">
        <f>"197675629671"</f>
        <v>197675629671</v>
      </c>
      <c r="C736" s="1" t="s">
        <v>185</v>
      </c>
      <c r="D736" s="2" t="s">
        <v>186</v>
      </c>
      <c r="E736" s="1" t="s">
        <v>125</v>
      </c>
      <c r="F736" s="1" t="s">
        <v>2210</v>
      </c>
      <c r="G736" s="1" t="s">
        <v>2418</v>
      </c>
      <c r="H736" s="1" t="s">
        <v>187</v>
      </c>
      <c r="I736" s="1" t="s">
        <v>2220</v>
      </c>
      <c r="J736" s="1" t="s">
        <v>2815</v>
      </c>
      <c r="K736" s="3">
        <v>7</v>
      </c>
      <c r="L736" s="4">
        <v>95</v>
      </c>
      <c r="M736" s="4">
        <f t="shared" si="12"/>
        <v>665</v>
      </c>
    </row>
    <row r="737" spans="1:13" ht="15.75" customHeight="1">
      <c r="A737" s="1" t="s">
        <v>188</v>
      </c>
      <c r="B737" s="1" t="str">
        <f>"197675629558"</f>
        <v>197675629558</v>
      </c>
      <c r="C737" s="1" t="s">
        <v>189</v>
      </c>
      <c r="D737" s="2" t="s">
        <v>190</v>
      </c>
      <c r="E737" s="1" t="s">
        <v>125</v>
      </c>
      <c r="F737" s="1" t="s">
        <v>191</v>
      </c>
      <c r="G737" s="1" t="s">
        <v>2211</v>
      </c>
      <c r="H737" s="1" t="s">
        <v>187</v>
      </c>
      <c r="I737" s="1" t="s">
        <v>2220</v>
      </c>
      <c r="J737" s="1" t="s">
        <v>2815</v>
      </c>
      <c r="K737" s="3">
        <v>1</v>
      </c>
      <c r="L737" s="4">
        <v>95</v>
      </c>
      <c r="M737" s="4">
        <f t="shared" si="12"/>
        <v>95</v>
      </c>
    </row>
    <row r="738" spans="1:13" ht="15.75" customHeight="1">
      <c r="A738" s="1" t="s">
        <v>192</v>
      </c>
      <c r="B738" s="1" t="str">
        <f>"197675786565"</f>
        <v>197675786565</v>
      </c>
      <c r="C738" s="1" t="s">
        <v>193</v>
      </c>
      <c r="D738" s="2" t="s">
        <v>194</v>
      </c>
      <c r="E738" s="1" t="s">
        <v>125</v>
      </c>
      <c r="F738" s="1" t="s">
        <v>2210</v>
      </c>
      <c r="G738" s="1" t="s">
        <v>2211</v>
      </c>
      <c r="H738" s="1" t="s">
        <v>195</v>
      </c>
      <c r="I738" s="1" t="s">
        <v>2220</v>
      </c>
      <c r="J738" s="1" t="s">
        <v>2815</v>
      </c>
      <c r="K738" s="3">
        <v>4</v>
      </c>
      <c r="L738" s="4">
        <v>95</v>
      </c>
      <c r="M738" s="4">
        <f t="shared" si="12"/>
        <v>380</v>
      </c>
    </row>
    <row r="739" spans="1:13" ht="15.75" customHeight="1">
      <c r="A739" s="1" t="s">
        <v>196</v>
      </c>
      <c r="B739" s="1" t="str">
        <f>"197675786558"</f>
        <v>197675786558</v>
      </c>
      <c r="C739" s="1" t="s">
        <v>197</v>
      </c>
      <c r="D739" s="2" t="s">
        <v>194</v>
      </c>
      <c r="E739" s="1" t="s">
        <v>125</v>
      </c>
      <c r="F739" s="1" t="s">
        <v>2210</v>
      </c>
      <c r="G739" s="1" t="s">
        <v>2411</v>
      </c>
      <c r="H739" s="1" t="s">
        <v>195</v>
      </c>
      <c r="I739" s="1" t="s">
        <v>2220</v>
      </c>
      <c r="J739" s="1" t="s">
        <v>2815</v>
      </c>
      <c r="K739" s="3">
        <v>59</v>
      </c>
      <c r="L739" s="4">
        <v>95</v>
      </c>
      <c r="M739" s="4">
        <f t="shared" si="12"/>
        <v>5605</v>
      </c>
    </row>
    <row r="740" spans="1:13" ht="15.75" customHeight="1">
      <c r="A740" s="1" t="s">
        <v>198</v>
      </c>
      <c r="B740" s="1" t="str">
        <f>"197675786541"</f>
        <v>197675786541</v>
      </c>
      <c r="C740" s="1" t="s">
        <v>199</v>
      </c>
      <c r="D740" s="2" t="s">
        <v>194</v>
      </c>
      <c r="E740" s="1" t="s">
        <v>125</v>
      </c>
      <c r="F740" s="1" t="s">
        <v>2210</v>
      </c>
      <c r="G740" s="1" t="s">
        <v>2219</v>
      </c>
      <c r="H740" s="1" t="s">
        <v>195</v>
      </c>
      <c r="I740" s="1" t="s">
        <v>2220</v>
      </c>
      <c r="J740" s="1" t="s">
        <v>2815</v>
      </c>
      <c r="K740" s="3">
        <v>24</v>
      </c>
      <c r="L740" s="4">
        <v>95</v>
      </c>
      <c r="M740" s="4">
        <f t="shared" si="12"/>
        <v>2280</v>
      </c>
    </row>
    <row r="741" spans="1:13" ht="15.75" customHeight="1">
      <c r="A741" s="1" t="s">
        <v>200</v>
      </c>
      <c r="B741" s="1" t="str">
        <f>"197675786503"</f>
        <v>197675786503</v>
      </c>
      <c r="C741" s="1" t="s">
        <v>201</v>
      </c>
      <c r="D741" s="2" t="s">
        <v>202</v>
      </c>
      <c r="E741" s="1" t="s">
        <v>125</v>
      </c>
      <c r="F741" s="1" t="s">
        <v>203</v>
      </c>
      <c r="G741" s="1" t="s">
        <v>2411</v>
      </c>
      <c r="H741" s="1" t="s">
        <v>195</v>
      </c>
      <c r="I741" s="1" t="s">
        <v>2220</v>
      </c>
      <c r="J741" s="1" t="s">
        <v>2815</v>
      </c>
      <c r="K741" s="3">
        <v>19</v>
      </c>
      <c r="L741" s="4">
        <v>95</v>
      </c>
      <c r="M741" s="4">
        <f t="shared" si="12"/>
        <v>1805</v>
      </c>
    </row>
    <row r="742" spans="1:13" ht="15.75" customHeight="1">
      <c r="A742" s="1" t="s">
        <v>204</v>
      </c>
      <c r="B742" s="1" t="str">
        <f>"197675786497"</f>
        <v>197675786497</v>
      </c>
      <c r="C742" s="1" t="s">
        <v>205</v>
      </c>
      <c r="D742" s="2" t="s">
        <v>202</v>
      </c>
      <c r="E742" s="1" t="s">
        <v>125</v>
      </c>
      <c r="F742" s="1" t="s">
        <v>203</v>
      </c>
      <c r="G742" s="1" t="s">
        <v>2219</v>
      </c>
      <c r="H742" s="1" t="s">
        <v>195</v>
      </c>
      <c r="I742" s="1" t="s">
        <v>2220</v>
      </c>
      <c r="J742" s="1" t="s">
        <v>2815</v>
      </c>
      <c r="K742" s="3">
        <v>9</v>
      </c>
      <c r="L742" s="4">
        <v>95</v>
      </c>
      <c r="M742" s="4">
        <f t="shared" si="12"/>
        <v>855</v>
      </c>
    </row>
    <row r="743" spans="1:13" ht="15.75" customHeight="1">
      <c r="A743" s="1" t="s">
        <v>206</v>
      </c>
      <c r="B743" s="1" t="str">
        <f>"197675712007"</f>
        <v>197675712007</v>
      </c>
      <c r="C743" s="1" t="s">
        <v>207</v>
      </c>
      <c r="D743" s="2" t="s">
        <v>208</v>
      </c>
      <c r="E743" s="1" t="s">
        <v>125</v>
      </c>
      <c r="F743" s="1" t="s">
        <v>2210</v>
      </c>
      <c r="G743" s="1" t="s">
        <v>2211</v>
      </c>
      <c r="H743" s="1" t="s">
        <v>209</v>
      </c>
      <c r="I743" s="1" t="s">
        <v>2220</v>
      </c>
      <c r="J743" s="1" t="s">
        <v>2815</v>
      </c>
      <c r="K743" s="3">
        <v>17</v>
      </c>
      <c r="L743" s="4">
        <v>95</v>
      </c>
      <c r="M743" s="4">
        <f t="shared" si="12"/>
        <v>1615</v>
      </c>
    </row>
    <row r="744" spans="1:13" ht="15.75" customHeight="1">
      <c r="A744" s="1" t="s">
        <v>210</v>
      </c>
      <c r="B744" s="1" t="str">
        <f>"197675712014"</f>
        <v>197675712014</v>
      </c>
      <c r="C744" s="1" t="s">
        <v>211</v>
      </c>
      <c r="D744" s="2" t="s">
        <v>208</v>
      </c>
      <c r="E744" s="1" t="s">
        <v>125</v>
      </c>
      <c r="F744" s="1" t="s">
        <v>2210</v>
      </c>
      <c r="G744" s="1" t="s">
        <v>2418</v>
      </c>
      <c r="H744" s="1" t="s">
        <v>209</v>
      </c>
      <c r="I744" s="1" t="s">
        <v>2220</v>
      </c>
      <c r="J744" s="1" t="s">
        <v>2815</v>
      </c>
      <c r="K744" s="3">
        <v>18</v>
      </c>
      <c r="L744" s="4">
        <v>95</v>
      </c>
      <c r="M744" s="4">
        <f t="shared" si="12"/>
        <v>1710</v>
      </c>
    </row>
    <row r="745" spans="1:13" ht="15.75" customHeight="1">
      <c r="A745" s="1" t="s">
        <v>212</v>
      </c>
      <c r="B745" s="1" t="str">
        <f>"197675713899"</f>
        <v>197675713899</v>
      </c>
      <c r="C745" s="1" t="s">
        <v>213</v>
      </c>
      <c r="D745" s="2" t="s">
        <v>214</v>
      </c>
      <c r="E745" s="1" t="s">
        <v>125</v>
      </c>
      <c r="F745" s="1" t="s">
        <v>2210</v>
      </c>
      <c r="G745" s="1" t="s">
        <v>2219</v>
      </c>
      <c r="H745" s="1" t="s">
        <v>215</v>
      </c>
      <c r="I745" s="1" t="s">
        <v>2257</v>
      </c>
      <c r="J745" s="1" t="s">
        <v>2815</v>
      </c>
      <c r="K745" s="3">
        <v>2</v>
      </c>
      <c r="L745" s="4">
        <v>95</v>
      </c>
      <c r="M745" s="4">
        <f t="shared" si="12"/>
        <v>190</v>
      </c>
    </row>
    <row r="746" spans="1:13" ht="15.75" customHeight="1">
      <c r="A746" s="1" t="s">
        <v>216</v>
      </c>
      <c r="B746" s="1" t="str">
        <f>"197675714100"</f>
        <v>197675714100</v>
      </c>
      <c r="C746" s="1" t="s">
        <v>217</v>
      </c>
      <c r="D746" s="2" t="s">
        <v>218</v>
      </c>
      <c r="E746" s="1" t="s">
        <v>125</v>
      </c>
      <c r="F746" s="1" t="s">
        <v>219</v>
      </c>
      <c r="G746" s="1" t="s">
        <v>2211</v>
      </c>
      <c r="H746" s="1" t="s">
        <v>215</v>
      </c>
      <c r="I746" s="1" t="s">
        <v>2257</v>
      </c>
      <c r="J746" s="1" t="s">
        <v>2815</v>
      </c>
      <c r="K746" s="3">
        <v>1</v>
      </c>
      <c r="L746" s="4">
        <v>95</v>
      </c>
      <c r="M746" s="4">
        <f t="shared" si="12"/>
        <v>95</v>
      </c>
    </row>
    <row r="747" spans="1:13" ht="15.75" customHeight="1">
      <c r="A747" s="1" t="s">
        <v>220</v>
      </c>
      <c r="B747" s="1" t="str">
        <f>"197675714094"</f>
        <v>197675714094</v>
      </c>
      <c r="C747" s="1" t="s">
        <v>221</v>
      </c>
      <c r="D747" s="2" t="s">
        <v>218</v>
      </c>
      <c r="E747" s="1" t="s">
        <v>125</v>
      </c>
      <c r="F747" s="1" t="s">
        <v>219</v>
      </c>
      <c r="G747" s="1" t="s">
        <v>2411</v>
      </c>
      <c r="H747" s="1" t="s">
        <v>215</v>
      </c>
      <c r="I747" s="1" t="s">
        <v>2257</v>
      </c>
      <c r="J747" s="1" t="s">
        <v>2815</v>
      </c>
      <c r="K747" s="3">
        <v>6</v>
      </c>
      <c r="L747" s="4">
        <v>95</v>
      </c>
      <c r="M747" s="4">
        <f t="shared" si="12"/>
        <v>570</v>
      </c>
    </row>
    <row r="748" spans="1:13" ht="15.75" customHeight="1">
      <c r="A748" s="1" t="s">
        <v>222</v>
      </c>
      <c r="B748" s="1" t="str">
        <f>"197675714087"</f>
        <v>197675714087</v>
      </c>
      <c r="C748" s="1" t="s">
        <v>223</v>
      </c>
      <c r="D748" s="2" t="s">
        <v>218</v>
      </c>
      <c r="E748" s="1" t="s">
        <v>125</v>
      </c>
      <c r="F748" s="1" t="s">
        <v>219</v>
      </c>
      <c r="G748" s="1" t="s">
        <v>2219</v>
      </c>
      <c r="H748" s="1" t="s">
        <v>215</v>
      </c>
      <c r="I748" s="1" t="s">
        <v>2257</v>
      </c>
      <c r="J748" s="1" t="s">
        <v>2815</v>
      </c>
      <c r="K748" s="3">
        <v>2</v>
      </c>
      <c r="L748" s="4">
        <v>95</v>
      </c>
      <c r="M748" s="4">
        <f t="shared" si="12"/>
        <v>190</v>
      </c>
    </row>
    <row r="749" spans="1:13" ht="15.75" customHeight="1">
      <c r="A749" s="1" t="s">
        <v>224</v>
      </c>
      <c r="B749" s="1" t="str">
        <f>"197675888696"</f>
        <v>197675888696</v>
      </c>
      <c r="C749" s="1" t="s">
        <v>225</v>
      </c>
      <c r="D749" s="2" t="s">
        <v>226</v>
      </c>
      <c r="E749" s="1" t="s">
        <v>125</v>
      </c>
      <c r="F749" s="1" t="s">
        <v>2210</v>
      </c>
      <c r="G749" s="1" t="s">
        <v>2211</v>
      </c>
      <c r="H749" s="1" t="s">
        <v>227</v>
      </c>
      <c r="I749" s="1" t="s">
        <v>2257</v>
      </c>
      <c r="J749" s="1" t="s">
        <v>2815</v>
      </c>
      <c r="K749" s="3">
        <v>29</v>
      </c>
      <c r="L749" s="4">
        <v>95</v>
      </c>
      <c r="M749" s="4">
        <f t="shared" si="12"/>
        <v>2755</v>
      </c>
    </row>
    <row r="750" spans="1:13" ht="15.75" customHeight="1">
      <c r="A750" s="1" t="s">
        <v>228</v>
      </c>
      <c r="B750" s="1" t="str">
        <f>"197675888689"</f>
        <v>197675888689</v>
      </c>
      <c r="C750" s="1" t="s">
        <v>229</v>
      </c>
      <c r="D750" s="2" t="s">
        <v>226</v>
      </c>
      <c r="E750" s="1" t="s">
        <v>125</v>
      </c>
      <c r="F750" s="1" t="s">
        <v>2210</v>
      </c>
      <c r="G750" s="1" t="s">
        <v>2411</v>
      </c>
      <c r="H750" s="1" t="s">
        <v>227</v>
      </c>
      <c r="I750" s="1" t="s">
        <v>2257</v>
      </c>
      <c r="J750" s="1" t="s">
        <v>2815</v>
      </c>
      <c r="K750" s="3">
        <v>40</v>
      </c>
      <c r="L750" s="4">
        <v>95</v>
      </c>
      <c r="M750" s="4">
        <f t="shared" si="12"/>
        <v>3800</v>
      </c>
    </row>
    <row r="751" spans="1:13" ht="15.75" customHeight="1">
      <c r="A751" s="1" t="s">
        <v>230</v>
      </c>
      <c r="B751" s="1" t="str">
        <f>"197675888672"</f>
        <v>197675888672</v>
      </c>
      <c r="C751" s="1" t="s">
        <v>231</v>
      </c>
      <c r="D751" s="2" t="s">
        <v>226</v>
      </c>
      <c r="E751" s="1" t="s">
        <v>125</v>
      </c>
      <c r="F751" s="1" t="s">
        <v>2210</v>
      </c>
      <c r="G751" s="1" t="s">
        <v>2219</v>
      </c>
      <c r="H751" s="1" t="s">
        <v>227</v>
      </c>
      <c r="I751" s="1" t="s">
        <v>2257</v>
      </c>
      <c r="J751" s="1" t="s">
        <v>2815</v>
      </c>
      <c r="K751" s="3">
        <v>23</v>
      </c>
      <c r="L751" s="4">
        <v>95</v>
      </c>
      <c r="M751" s="4">
        <f t="shared" si="12"/>
        <v>2185</v>
      </c>
    </row>
    <row r="752" spans="1:13" ht="15.75" customHeight="1">
      <c r="A752" s="1" t="s">
        <v>232</v>
      </c>
      <c r="B752" s="1" t="str">
        <f>"197675630127"</f>
        <v>197675630127</v>
      </c>
      <c r="C752" s="1" t="s">
        <v>233</v>
      </c>
      <c r="D752" s="2" t="s">
        <v>234</v>
      </c>
      <c r="E752" s="1" t="s">
        <v>125</v>
      </c>
      <c r="F752" s="1" t="s">
        <v>219</v>
      </c>
      <c r="G752" s="1" t="s">
        <v>2211</v>
      </c>
      <c r="H752" s="1" t="s">
        <v>235</v>
      </c>
      <c r="I752" s="1" t="s">
        <v>2257</v>
      </c>
      <c r="J752" s="1" t="s">
        <v>2815</v>
      </c>
      <c r="K752" s="3">
        <v>4</v>
      </c>
      <c r="L752" s="4">
        <v>95</v>
      </c>
      <c r="M752" s="4">
        <f t="shared" si="12"/>
        <v>380</v>
      </c>
    </row>
    <row r="753" spans="1:13" ht="15.75" customHeight="1">
      <c r="A753" s="1" t="s">
        <v>236</v>
      </c>
      <c r="B753" s="1" t="str">
        <f>"197675630103"</f>
        <v>197675630103</v>
      </c>
      <c r="C753" s="1" t="s">
        <v>237</v>
      </c>
      <c r="D753" s="2" t="s">
        <v>234</v>
      </c>
      <c r="E753" s="1" t="s">
        <v>125</v>
      </c>
      <c r="F753" s="1" t="s">
        <v>219</v>
      </c>
      <c r="G753" s="1" t="s">
        <v>2219</v>
      </c>
      <c r="H753" s="1" t="s">
        <v>235</v>
      </c>
      <c r="I753" s="1" t="s">
        <v>2257</v>
      </c>
      <c r="J753" s="1" t="s">
        <v>2815</v>
      </c>
      <c r="K753" s="3">
        <v>2</v>
      </c>
      <c r="L753" s="4">
        <v>95</v>
      </c>
      <c r="M753" s="4">
        <f t="shared" si="12"/>
        <v>190</v>
      </c>
    </row>
    <row r="754" spans="1:13" ht="15.75" customHeight="1">
      <c r="A754" s="1" t="s">
        <v>238</v>
      </c>
      <c r="B754" s="1" t="str">
        <f>"196469343472"</f>
        <v>196469343472</v>
      </c>
      <c r="C754" s="1" t="s">
        <v>239</v>
      </c>
      <c r="D754" s="2" t="s">
        <v>240</v>
      </c>
      <c r="E754" s="1" t="s">
        <v>125</v>
      </c>
      <c r="F754" s="1" t="s">
        <v>241</v>
      </c>
      <c r="G754" s="1" t="str">
        <f>"10"</f>
        <v>10</v>
      </c>
      <c r="H754" s="1" t="str">
        <f t="shared" ref="H754:H760" si="13">"107831"</f>
        <v>107831</v>
      </c>
      <c r="I754" s="1" t="s">
        <v>2257</v>
      </c>
      <c r="J754" s="1" t="s">
        <v>2230</v>
      </c>
      <c r="K754" s="3">
        <v>9</v>
      </c>
      <c r="L754" s="4">
        <v>90</v>
      </c>
      <c r="M754" s="4">
        <f t="shared" si="12"/>
        <v>810</v>
      </c>
    </row>
    <row r="755" spans="1:13" ht="15.75" customHeight="1">
      <c r="A755" s="1" t="s">
        <v>242</v>
      </c>
      <c r="B755" s="1" t="str">
        <f>"196469343526"</f>
        <v>196469343526</v>
      </c>
      <c r="C755" s="1" t="s">
        <v>243</v>
      </c>
      <c r="D755" s="2" t="s">
        <v>240</v>
      </c>
      <c r="E755" s="1" t="s">
        <v>125</v>
      </c>
      <c r="F755" s="1" t="s">
        <v>241</v>
      </c>
      <c r="G755" s="1" t="str">
        <f>"11"</f>
        <v>11</v>
      </c>
      <c r="H755" s="1" t="str">
        <f t="shared" si="13"/>
        <v>107831</v>
      </c>
      <c r="I755" s="1" t="s">
        <v>2257</v>
      </c>
      <c r="J755" s="1" t="s">
        <v>2230</v>
      </c>
      <c r="K755" s="3">
        <v>4</v>
      </c>
      <c r="L755" s="4">
        <v>90</v>
      </c>
      <c r="M755" s="4">
        <f t="shared" si="12"/>
        <v>360</v>
      </c>
    </row>
    <row r="756" spans="1:13" ht="15.75" customHeight="1">
      <c r="A756" s="1" t="s">
        <v>244</v>
      </c>
      <c r="B756" s="1" t="str">
        <f>"196469343496"</f>
        <v>196469343496</v>
      </c>
      <c r="C756" s="1" t="s">
        <v>245</v>
      </c>
      <c r="D756" s="2" t="s">
        <v>240</v>
      </c>
      <c r="E756" s="1" t="s">
        <v>125</v>
      </c>
      <c r="F756" s="1" t="s">
        <v>241</v>
      </c>
      <c r="G756" s="1" t="str">
        <f>"7.5"</f>
        <v>7.5</v>
      </c>
      <c r="H756" s="1" t="str">
        <f t="shared" si="13"/>
        <v>107831</v>
      </c>
      <c r="I756" s="1" t="s">
        <v>2257</v>
      </c>
      <c r="J756" s="1" t="s">
        <v>2230</v>
      </c>
      <c r="K756" s="3">
        <v>11</v>
      </c>
      <c r="L756" s="4">
        <v>90</v>
      </c>
      <c r="M756" s="4">
        <f t="shared" si="12"/>
        <v>990</v>
      </c>
    </row>
    <row r="757" spans="1:13" ht="15.75" customHeight="1">
      <c r="A757" s="1" t="s">
        <v>246</v>
      </c>
      <c r="B757" s="1" t="str">
        <f>"196469347159"</f>
        <v>196469347159</v>
      </c>
      <c r="C757" s="1" t="s">
        <v>247</v>
      </c>
      <c r="D757" s="2" t="s">
        <v>240</v>
      </c>
      <c r="E757" s="1" t="s">
        <v>125</v>
      </c>
      <c r="F757" s="1" t="s">
        <v>241</v>
      </c>
      <c r="G757" s="1" t="str">
        <f>"8"</f>
        <v>8</v>
      </c>
      <c r="H757" s="1" t="str">
        <f t="shared" si="13"/>
        <v>107831</v>
      </c>
      <c r="I757" s="1" t="s">
        <v>2257</v>
      </c>
      <c r="J757" s="1" t="s">
        <v>2230</v>
      </c>
      <c r="K757" s="3">
        <v>38</v>
      </c>
      <c r="L757" s="4">
        <v>90</v>
      </c>
      <c r="M757" s="4">
        <f t="shared" si="12"/>
        <v>3420</v>
      </c>
    </row>
    <row r="758" spans="1:13" ht="15.75" customHeight="1">
      <c r="A758" s="1" t="s">
        <v>248</v>
      </c>
      <c r="B758" s="1" t="str">
        <f>"196469347173"</f>
        <v>196469347173</v>
      </c>
      <c r="C758" s="1" t="s">
        <v>249</v>
      </c>
      <c r="D758" s="2" t="s">
        <v>240</v>
      </c>
      <c r="E758" s="1" t="s">
        <v>125</v>
      </c>
      <c r="F758" s="1" t="s">
        <v>241</v>
      </c>
      <c r="G758" s="1" t="str">
        <f>"8.5"</f>
        <v>8.5</v>
      </c>
      <c r="H758" s="1" t="str">
        <f t="shared" si="13"/>
        <v>107831</v>
      </c>
      <c r="I758" s="1" t="s">
        <v>2257</v>
      </c>
      <c r="J758" s="1" t="s">
        <v>2230</v>
      </c>
      <c r="K758" s="3">
        <v>29</v>
      </c>
      <c r="L758" s="4">
        <v>90</v>
      </c>
      <c r="M758" s="4">
        <f t="shared" si="12"/>
        <v>2610</v>
      </c>
    </row>
    <row r="759" spans="1:13" ht="15.75" customHeight="1">
      <c r="A759" s="1" t="s">
        <v>250</v>
      </c>
      <c r="B759" s="1" t="str">
        <f>"196469347166"</f>
        <v>196469347166</v>
      </c>
      <c r="C759" s="1" t="s">
        <v>251</v>
      </c>
      <c r="D759" s="2" t="s">
        <v>240</v>
      </c>
      <c r="E759" s="1" t="s">
        <v>125</v>
      </c>
      <c r="F759" s="1" t="s">
        <v>241</v>
      </c>
      <c r="G759" s="1" t="str">
        <f>"9"</f>
        <v>9</v>
      </c>
      <c r="H759" s="1" t="str">
        <f t="shared" si="13"/>
        <v>107831</v>
      </c>
      <c r="I759" s="1" t="s">
        <v>2257</v>
      </c>
      <c r="J759" s="1" t="s">
        <v>2230</v>
      </c>
      <c r="K759" s="3">
        <v>19</v>
      </c>
      <c r="L759" s="4">
        <v>90</v>
      </c>
      <c r="M759" s="4">
        <f t="shared" si="12"/>
        <v>1710</v>
      </c>
    </row>
    <row r="760" spans="1:13" ht="15.75" customHeight="1">
      <c r="A760" s="1" t="s">
        <v>252</v>
      </c>
      <c r="B760" s="1" t="str">
        <f>"196469343458"</f>
        <v>196469343458</v>
      </c>
      <c r="C760" s="1" t="s">
        <v>253</v>
      </c>
      <c r="D760" s="2" t="s">
        <v>240</v>
      </c>
      <c r="E760" s="1" t="s">
        <v>125</v>
      </c>
      <c r="F760" s="1" t="s">
        <v>241</v>
      </c>
      <c r="G760" s="1" t="str">
        <f>"9.5"</f>
        <v>9.5</v>
      </c>
      <c r="H760" s="1" t="str">
        <f t="shared" si="13"/>
        <v>107831</v>
      </c>
      <c r="I760" s="1" t="s">
        <v>2257</v>
      </c>
      <c r="J760" s="1" t="s">
        <v>2230</v>
      </c>
      <c r="K760" s="3">
        <v>18</v>
      </c>
      <c r="L760" s="4">
        <v>90</v>
      </c>
      <c r="M760" s="4">
        <f t="shared" si="12"/>
        <v>1620</v>
      </c>
    </row>
    <row r="761" spans="1:13" ht="15.75" customHeight="1">
      <c r="A761" s="1" t="s">
        <v>254</v>
      </c>
      <c r="B761" s="1" t="str">
        <f>"198161080587"</f>
        <v>198161080587</v>
      </c>
      <c r="C761" s="1" t="s">
        <v>255</v>
      </c>
      <c r="D761" s="2" t="s">
        <v>256</v>
      </c>
      <c r="E761" s="1" t="s">
        <v>257</v>
      </c>
      <c r="F761" s="1" t="s">
        <v>2210</v>
      </c>
      <c r="G761" s="1" t="s">
        <v>2211</v>
      </c>
      <c r="H761" s="1" t="s">
        <v>258</v>
      </c>
      <c r="I761" s="1" t="s">
        <v>2220</v>
      </c>
      <c r="J761" s="1" t="s">
        <v>2428</v>
      </c>
      <c r="K761" s="3">
        <v>251</v>
      </c>
      <c r="L761" s="4">
        <v>26</v>
      </c>
      <c r="M761" s="4">
        <f t="shared" si="12"/>
        <v>6526</v>
      </c>
    </row>
    <row r="762" spans="1:13" ht="15.75" customHeight="1">
      <c r="A762" s="1" t="s">
        <v>259</v>
      </c>
      <c r="B762" s="1" t="str">
        <f>"198161080570"</f>
        <v>198161080570</v>
      </c>
      <c r="C762" s="1" t="s">
        <v>260</v>
      </c>
      <c r="D762" s="2" t="s">
        <v>256</v>
      </c>
      <c r="E762" s="1" t="s">
        <v>257</v>
      </c>
      <c r="F762" s="1" t="s">
        <v>2210</v>
      </c>
      <c r="G762" s="1" t="s">
        <v>2411</v>
      </c>
      <c r="H762" s="1" t="s">
        <v>258</v>
      </c>
      <c r="I762" s="1" t="s">
        <v>2220</v>
      </c>
      <c r="J762" s="1" t="s">
        <v>2428</v>
      </c>
      <c r="K762" s="3">
        <v>443</v>
      </c>
      <c r="L762" s="4">
        <v>26</v>
      </c>
      <c r="M762" s="4">
        <f t="shared" si="12"/>
        <v>11518</v>
      </c>
    </row>
    <row r="763" spans="1:13" ht="15.75" customHeight="1">
      <c r="A763" s="1" t="s">
        <v>261</v>
      </c>
      <c r="B763" s="1" t="str">
        <f>"198161080563"</f>
        <v>198161080563</v>
      </c>
      <c r="C763" s="1" t="s">
        <v>262</v>
      </c>
      <c r="D763" s="2" t="s">
        <v>256</v>
      </c>
      <c r="E763" s="1" t="s">
        <v>257</v>
      </c>
      <c r="F763" s="1" t="s">
        <v>2210</v>
      </c>
      <c r="G763" s="1" t="s">
        <v>2219</v>
      </c>
      <c r="H763" s="1" t="s">
        <v>258</v>
      </c>
      <c r="I763" s="1" t="s">
        <v>2220</v>
      </c>
      <c r="J763" s="1" t="s">
        <v>2428</v>
      </c>
      <c r="K763" s="3">
        <v>127</v>
      </c>
      <c r="L763" s="4">
        <v>26</v>
      </c>
      <c r="M763" s="4">
        <f t="shared" si="12"/>
        <v>3302</v>
      </c>
    </row>
    <row r="764" spans="1:13" ht="15.75" customHeight="1">
      <c r="A764" s="1" t="s">
        <v>263</v>
      </c>
      <c r="B764" s="1" t="str">
        <f>"198161080594"</f>
        <v>198161080594</v>
      </c>
      <c r="C764" s="1" t="s">
        <v>264</v>
      </c>
      <c r="D764" s="2" t="s">
        <v>256</v>
      </c>
      <c r="E764" s="1" t="s">
        <v>257</v>
      </c>
      <c r="F764" s="1" t="s">
        <v>2210</v>
      </c>
      <c r="G764" s="1" t="s">
        <v>2418</v>
      </c>
      <c r="H764" s="1" t="s">
        <v>258</v>
      </c>
      <c r="I764" s="1" t="s">
        <v>2220</v>
      </c>
      <c r="J764" s="1" t="s">
        <v>2428</v>
      </c>
      <c r="K764" s="3">
        <v>210</v>
      </c>
      <c r="L764" s="4">
        <v>26</v>
      </c>
      <c r="M764" s="4">
        <f t="shared" si="12"/>
        <v>5460</v>
      </c>
    </row>
    <row r="765" spans="1:13" ht="15.75" customHeight="1">
      <c r="A765" s="1" t="s">
        <v>265</v>
      </c>
      <c r="B765" s="1" t="str">
        <f>"198161080648"</f>
        <v>198161080648</v>
      </c>
      <c r="C765" s="1" t="s">
        <v>266</v>
      </c>
      <c r="D765" s="2" t="s">
        <v>267</v>
      </c>
      <c r="E765" s="1" t="s">
        <v>257</v>
      </c>
      <c r="F765" s="1" t="s">
        <v>2516</v>
      </c>
      <c r="G765" s="1" t="s">
        <v>2211</v>
      </c>
      <c r="H765" s="1" t="s">
        <v>268</v>
      </c>
      <c r="I765" s="1" t="s">
        <v>2220</v>
      </c>
      <c r="J765" s="1" t="s">
        <v>2428</v>
      </c>
      <c r="K765" s="3">
        <v>441</v>
      </c>
      <c r="L765" s="4">
        <v>26</v>
      </c>
      <c r="M765" s="4">
        <f t="shared" si="12"/>
        <v>11466</v>
      </c>
    </row>
    <row r="766" spans="1:13" ht="15.75" customHeight="1">
      <c r="A766" s="1" t="s">
        <v>269</v>
      </c>
      <c r="B766" s="1" t="str">
        <f>"198161080631"</f>
        <v>198161080631</v>
      </c>
      <c r="C766" s="1" t="s">
        <v>270</v>
      </c>
      <c r="D766" s="2" t="s">
        <v>267</v>
      </c>
      <c r="E766" s="1" t="s">
        <v>257</v>
      </c>
      <c r="F766" s="1" t="s">
        <v>2516</v>
      </c>
      <c r="G766" s="1" t="s">
        <v>2411</v>
      </c>
      <c r="H766" s="1" t="s">
        <v>268</v>
      </c>
      <c r="I766" s="1" t="s">
        <v>2220</v>
      </c>
      <c r="J766" s="1" t="s">
        <v>2428</v>
      </c>
      <c r="K766" s="3">
        <v>571</v>
      </c>
      <c r="L766" s="4">
        <v>26</v>
      </c>
      <c r="M766" s="4">
        <f t="shared" si="12"/>
        <v>14846</v>
      </c>
    </row>
    <row r="767" spans="1:13" ht="15.75" customHeight="1">
      <c r="A767" s="1" t="s">
        <v>271</v>
      </c>
      <c r="B767" s="1" t="str">
        <f>"198161080624"</f>
        <v>198161080624</v>
      </c>
      <c r="C767" s="1" t="s">
        <v>272</v>
      </c>
      <c r="D767" s="2" t="s">
        <v>267</v>
      </c>
      <c r="E767" s="1" t="s">
        <v>257</v>
      </c>
      <c r="F767" s="1" t="s">
        <v>2516</v>
      </c>
      <c r="G767" s="1" t="s">
        <v>2219</v>
      </c>
      <c r="H767" s="1" t="s">
        <v>268</v>
      </c>
      <c r="I767" s="1" t="s">
        <v>2220</v>
      </c>
      <c r="J767" s="1" t="s">
        <v>2428</v>
      </c>
      <c r="K767" s="3">
        <v>175</v>
      </c>
      <c r="L767" s="4">
        <v>26</v>
      </c>
      <c r="M767" s="4">
        <f t="shared" si="12"/>
        <v>4550</v>
      </c>
    </row>
    <row r="768" spans="1:13" ht="15.75" customHeight="1">
      <c r="A768" s="1" t="s">
        <v>273</v>
      </c>
      <c r="B768" s="1" t="str">
        <f>"198161080655"</f>
        <v>198161080655</v>
      </c>
      <c r="C768" s="1" t="s">
        <v>274</v>
      </c>
      <c r="D768" s="2" t="s">
        <v>267</v>
      </c>
      <c r="E768" s="1" t="s">
        <v>257</v>
      </c>
      <c r="F768" s="1" t="s">
        <v>2516</v>
      </c>
      <c r="G768" s="1" t="s">
        <v>2418</v>
      </c>
      <c r="H768" s="1" t="s">
        <v>268</v>
      </c>
      <c r="I768" s="1" t="s">
        <v>2220</v>
      </c>
      <c r="J768" s="1" t="s">
        <v>2428</v>
      </c>
      <c r="K768" s="3">
        <v>421</v>
      </c>
      <c r="L768" s="4">
        <v>26</v>
      </c>
      <c r="M768" s="4">
        <f t="shared" si="12"/>
        <v>10946</v>
      </c>
    </row>
    <row r="769" spans="1:13" ht="15.75" customHeight="1">
      <c r="A769" s="1" t="s">
        <v>275</v>
      </c>
      <c r="B769" s="1" t="str">
        <f>"196325385233"</f>
        <v>196325385233</v>
      </c>
      <c r="C769" s="1" t="s">
        <v>276</v>
      </c>
      <c r="D769" s="2" t="s">
        <v>277</v>
      </c>
      <c r="E769" s="1" t="s">
        <v>257</v>
      </c>
      <c r="F769" s="1" t="s">
        <v>278</v>
      </c>
      <c r="G769" s="1" t="str">
        <f>"32"</f>
        <v>32</v>
      </c>
      <c r="H769" s="1" t="s">
        <v>279</v>
      </c>
      <c r="I769" s="1" t="s">
        <v>2220</v>
      </c>
      <c r="J769" s="1" t="s">
        <v>2221</v>
      </c>
      <c r="K769" s="3">
        <v>65</v>
      </c>
      <c r="L769" s="4">
        <v>55</v>
      </c>
      <c r="M769" s="4">
        <f t="shared" si="12"/>
        <v>3575</v>
      </c>
    </row>
    <row r="770" spans="1:13" ht="15.75" customHeight="1">
      <c r="A770" s="1" t="s">
        <v>280</v>
      </c>
      <c r="B770" s="1" t="str">
        <f>"196325385257"</f>
        <v>196325385257</v>
      </c>
      <c r="C770" s="1" t="s">
        <v>281</v>
      </c>
      <c r="D770" s="2" t="s">
        <v>277</v>
      </c>
      <c r="E770" s="1" t="s">
        <v>257</v>
      </c>
      <c r="F770" s="1" t="s">
        <v>278</v>
      </c>
      <c r="G770" s="1" t="str">
        <f>"34"</f>
        <v>34</v>
      </c>
      <c r="H770" s="1" t="s">
        <v>279</v>
      </c>
      <c r="I770" s="1" t="s">
        <v>2220</v>
      </c>
      <c r="J770" s="1" t="s">
        <v>2221</v>
      </c>
      <c r="K770" s="3">
        <v>55</v>
      </c>
      <c r="L770" s="4">
        <v>55</v>
      </c>
      <c r="M770" s="4">
        <f t="shared" ref="M770:M833" si="14">L770*K770</f>
        <v>3025</v>
      </c>
    </row>
    <row r="771" spans="1:13" ht="15.75" customHeight="1">
      <c r="A771" s="1" t="s">
        <v>282</v>
      </c>
      <c r="B771" s="1" t="str">
        <f>"195883684598"</f>
        <v>195883684598</v>
      </c>
      <c r="C771" s="1" t="s">
        <v>283</v>
      </c>
      <c r="D771" s="2" t="s">
        <v>284</v>
      </c>
      <c r="E771" s="1" t="s">
        <v>257</v>
      </c>
      <c r="F771" s="1" t="s">
        <v>285</v>
      </c>
      <c r="G771" s="1" t="s">
        <v>2211</v>
      </c>
      <c r="H771" s="1" t="s">
        <v>286</v>
      </c>
      <c r="I771" s="1" t="s">
        <v>2220</v>
      </c>
      <c r="J771" s="1" t="s">
        <v>2428</v>
      </c>
      <c r="K771" s="3">
        <v>49</v>
      </c>
      <c r="L771" s="4">
        <v>30</v>
      </c>
      <c r="M771" s="4">
        <f t="shared" si="14"/>
        <v>1470</v>
      </c>
    </row>
    <row r="772" spans="1:13" ht="15.75" customHeight="1">
      <c r="A772" s="1" t="s">
        <v>287</v>
      </c>
      <c r="B772" s="1" t="str">
        <f>"195883684581"</f>
        <v>195883684581</v>
      </c>
      <c r="C772" s="1" t="s">
        <v>288</v>
      </c>
      <c r="D772" s="2" t="s">
        <v>284</v>
      </c>
      <c r="E772" s="1" t="s">
        <v>257</v>
      </c>
      <c r="F772" s="1" t="s">
        <v>285</v>
      </c>
      <c r="G772" s="1" t="s">
        <v>2411</v>
      </c>
      <c r="H772" s="1" t="s">
        <v>286</v>
      </c>
      <c r="I772" s="1" t="s">
        <v>2220</v>
      </c>
      <c r="J772" s="1" t="s">
        <v>2428</v>
      </c>
      <c r="K772" s="3">
        <v>94</v>
      </c>
      <c r="L772" s="4">
        <v>30</v>
      </c>
      <c r="M772" s="4">
        <f t="shared" si="14"/>
        <v>2820</v>
      </c>
    </row>
    <row r="773" spans="1:13" ht="15.75" customHeight="1">
      <c r="A773" s="1" t="s">
        <v>289</v>
      </c>
      <c r="B773" s="1" t="str">
        <f>"195883684574"</f>
        <v>195883684574</v>
      </c>
      <c r="C773" s="1" t="s">
        <v>290</v>
      </c>
      <c r="D773" s="2" t="s">
        <v>284</v>
      </c>
      <c r="E773" s="1" t="s">
        <v>257</v>
      </c>
      <c r="F773" s="1" t="s">
        <v>285</v>
      </c>
      <c r="G773" s="1" t="s">
        <v>2219</v>
      </c>
      <c r="H773" s="1" t="s">
        <v>286</v>
      </c>
      <c r="I773" s="1" t="s">
        <v>2220</v>
      </c>
      <c r="J773" s="1" t="s">
        <v>2428</v>
      </c>
      <c r="K773" s="3">
        <v>4</v>
      </c>
      <c r="L773" s="4">
        <v>30</v>
      </c>
      <c r="M773" s="4">
        <f t="shared" si="14"/>
        <v>120</v>
      </c>
    </row>
    <row r="774" spans="1:13" ht="15.75" customHeight="1">
      <c r="A774" s="1" t="s">
        <v>291</v>
      </c>
      <c r="B774" s="1" t="str">
        <f>"195883684604"</f>
        <v>195883684604</v>
      </c>
      <c r="C774" s="1" t="s">
        <v>292</v>
      </c>
      <c r="D774" s="2" t="s">
        <v>284</v>
      </c>
      <c r="E774" s="1" t="s">
        <v>257</v>
      </c>
      <c r="F774" s="1" t="s">
        <v>285</v>
      </c>
      <c r="G774" s="1" t="s">
        <v>2418</v>
      </c>
      <c r="H774" s="1" t="s">
        <v>286</v>
      </c>
      <c r="I774" s="1" t="s">
        <v>2220</v>
      </c>
      <c r="J774" s="1" t="s">
        <v>2428</v>
      </c>
      <c r="K774" s="3">
        <v>36</v>
      </c>
      <c r="L774" s="4">
        <v>30</v>
      </c>
      <c r="M774" s="4">
        <f t="shared" si="14"/>
        <v>1080</v>
      </c>
    </row>
    <row r="775" spans="1:13" ht="15.75" customHeight="1">
      <c r="A775" s="1" t="s">
        <v>293</v>
      </c>
      <c r="B775" s="1" t="str">
        <f>"198161106362"</f>
        <v>198161106362</v>
      </c>
      <c r="C775" s="1" t="s">
        <v>294</v>
      </c>
      <c r="D775" s="2" t="s">
        <v>295</v>
      </c>
      <c r="E775" s="1" t="s">
        <v>257</v>
      </c>
      <c r="F775" s="1" t="s">
        <v>2210</v>
      </c>
      <c r="G775" s="1" t="s">
        <v>2411</v>
      </c>
      <c r="H775" s="1" t="s">
        <v>296</v>
      </c>
      <c r="I775" s="1" t="s">
        <v>2220</v>
      </c>
      <c r="J775" s="1" t="s">
        <v>2428</v>
      </c>
      <c r="K775" s="3">
        <v>99</v>
      </c>
      <c r="L775" s="4">
        <v>26</v>
      </c>
      <c r="M775" s="4">
        <f t="shared" si="14"/>
        <v>2574</v>
      </c>
    </row>
    <row r="776" spans="1:13" ht="15.75" customHeight="1">
      <c r="A776" s="1" t="s">
        <v>297</v>
      </c>
      <c r="B776" s="1" t="str">
        <f>"198161106355"</f>
        <v>198161106355</v>
      </c>
      <c r="C776" s="1" t="s">
        <v>298</v>
      </c>
      <c r="D776" s="2" t="s">
        <v>295</v>
      </c>
      <c r="E776" s="1" t="s">
        <v>257</v>
      </c>
      <c r="F776" s="1" t="s">
        <v>2210</v>
      </c>
      <c r="G776" s="1" t="s">
        <v>2219</v>
      </c>
      <c r="H776" s="1" t="s">
        <v>296</v>
      </c>
      <c r="I776" s="1" t="s">
        <v>2220</v>
      </c>
      <c r="J776" s="1" t="s">
        <v>2428</v>
      </c>
      <c r="K776" s="3">
        <v>121</v>
      </c>
      <c r="L776" s="4">
        <v>26</v>
      </c>
      <c r="M776" s="4">
        <f t="shared" si="14"/>
        <v>3146</v>
      </c>
    </row>
    <row r="777" spans="1:13" ht="15.75" customHeight="1">
      <c r="A777" s="1" t="s">
        <v>299</v>
      </c>
      <c r="B777" s="1" t="str">
        <f>"198161106454"</f>
        <v>198161106454</v>
      </c>
      <c r="C777" s="1" t="s">
        <v>300</v>
      </c>
      <c r="D777" s="2" t="s">
        <v>301</v>
      </c>
      <c r="E777" s="1" t="s">
        <v>257</v>
      </c>
      <c r="F777" s="1" t="s">
        <v>2868</v>
      </c>
      <c r="G777" s="1" t="s">
        <v>2411</v>
      </c>
      <c r="H777" s="1" t="s">
        <v>302</v>
      </c>
      <c r="I777" s="1" t="s">
        <v>2220</v>
      </c>
      <c r="J777" s="1" t="s">
        <v>2428</v>
      </c>
      <c r="K777" s="3">
        <v>125</v>
      </c>
      <c r="L777" s="4">
        <v>26</v>
      </c>
      <c r="M777" s="4">
        <f t="shared" si="14"/>
        <v>3250</v>
      </c>
    </row>
    <row r="778" spans="1:13" ht="15.75" customHeight="1">
      <c r="A778" s="1" t="s">
        <v>303</v>
      </c>
      <c r="B778" s="1" t="str">
        <f>"198161106447"</f>
        <v>198161106447</v>
      </c>
      <c r="C778" s="1" t="s">
        <v>304</v>
      </c>
      <c r="D778" s="2" t="s">
        <v>301</v>
      </c>
      <c r="E778" s="1" t="s">
        <v>257</v>
      </c>
      <c r="F778" s="1" t="s">
        <v>2868</v>
      </c>
      <c r="G778" s="1" t="s">
        <v>2219</v>
      </c>
      <c r="H778" s="1" t="s">
        <v>302</v>
      </c>
      <c r="I778" s="1" t="s">
        <v>2220</v>
      </c>
      <c r="J778" s="1" t="s">
        <v>2428</v>
      </c>
      <c r="K778" s="3">
        <v>103</v>
      </c>
      <c r="L778" s="4">
        <v>26</v>
      </c>
      <c r="M778" s="4">
        <f t="shared" si="14"/>
        <v>2678</v>
      </c>
    </row>
    <row r="779" spans="1:13" ht="15.75" customHeight="1">
      <c r="A779" s="1" t="s">
        <v>305</v>
      </c>
      <c r="B779" s="1" t="str">
        <f>"198161106546"</f>
        <v>198161106546</v>
      </c>
      <c r="C779" s="1" t="s">
        <v>306</v>
      </c>
      <c r="D779" s="2" t="s">
        <v>307</v>
      </c>
      <c r="E779" s="1" t="s">
        <v>257</v>
      </c>
      <c r="F779" s="1" t="s">
        <v>191</v>
      </c>
      <c r="G779" s="1" t="s">
        <v>2411</v>
      </c>
      <c r="H779" s="1" t="s">
        <v>308</v>
      </c>
      <c r="I779" s="1" t="s">
        <v>2220</v>
      </c>
      <c r="J779" s="1" t="s">
        <v>2428</v>
      </c>
      <c r="K779" s="3">
        <v>128</v>
      </c>
      <c r="L779" s="4">
        <v>26</v>
      </c>
      <c r="M779" s="4">
        <f t="shared" si="14"/>
        <v>3328</v>
      </c>
    </row>
    <row r="780" spans="1:13" ht="15.75" customHeight="1">
      <c r="A780" s="1" t="s">
        <v>309</v>
      </c>
      <c r="B780" s="1" t="str">
        <f>"198161106539"</f>
        <v>198161106539</v>
      </c>
      <c r="C780" s="1" t="s">
        <v>310</v>
      </c>
      <c r="D780" s="2" t="s">
        <v>307</v>
      </c>
      <c r="E780" s="1" t="s">
        <v>257</v>
      </c>
      <c r="F780" s="1" t="s">
        <v>191</v>
      </c>
      <c r="G780" s="1" t="s">
        <v>2219</v>
      </c>
      <c r="H780" s="1" t="s">
        <v>308</v>
      </c>
      <c r="I780" s="1" t="s">
        <v>2220</v>
      </c>
      <c r="J780" s="1" t="s">
        <v>2428</v>
      </c>
      <c r="K780" s="3">
        <v>132</v>
      </c>
      <c r="L780" s="4">
        <v>26</v>
      </c>
      <c r="M780" s="4">
        <f t="shared" si="14"/>
        <v>3432</v>
      </c>
    </row>
    <row r="781" spans="1:13" ht="15.75" customHeight="1">
      <c r="A781" s="1" t="s">
        <v>311</v>
      </c>
      <c r="B781" s="1" t="str">
        <f>"198161106638"</f>
        <v>198161106638</v>
      </c>
      <c r="C781" s="1" t="s">
        <v>312</v>
      </c>
      <c r="D781" s="2" t="s">
        <v>313</v>
      </c>
      <c r="E781" s="1" t="s">
        <v>257</v>
      </c>
      <c r="F781" s="1" t="s">
        <v>2516</v>
      </c>
      <c r="G781" s="1" t="s">
        <v>2411</v>
      </c>
      <c r="H781" s="1" t="s">
        <v>314</v>
      </c>
      <c r="I781" s="1" t="s">
        <v>2220</v>
      </c>
      <c r="J781" s="1" t="s">
        <v>2428</v>
      </c>
      <c r="K781" s="3">
        <v>161</v>
      </c>
      <c r="L781" s="4">
        <v>26</v>
      </c>
      <c r="M781" s="4">
        <f t="shared" si="14"/>
        <v>4186</v>
      </c>
    </row>
    <row r="782" spans="1:13" ht="15.75" customHeight="1">
      <c r="A782" s="1" t="s">
        <v>315</v>
      </c>
      <c r="B782" s="1" t="str">
        <f>"198161106621"</f>
        <v>198161106621</v>
      </c>
      <c r="C782" s="1" t="s">
        <v>316</v>
      </c>
      <c r="D782" s="2" t="s">
        <v>313</v>
      </c>
      <c r="E782" s="1" t="s">
        <v>257</v>
      </c>
      <c r="F782" s="1" t="s">
        <v>2516</v>
      </c>
      <c r="G782" s="1" t="s">
        <v>2219</v>
      </c>
      <c r="H782" s="1" t="s">
        <v>314</v>
      </c>
      <c r="I782" s="1" t="s">
        <v>2220</v>
      </c>
      <c r="J782" s="1" t="s">
        <v>2428</v>
      </c>
      <c r="K782" s="3">
        <v>125</v>
      </c>
      <c r="L782" s="4">
        <v>26</v>
      </c>
      <c r="M782" s="4">
        <f t="shared" si="14"/>
        <v>3250</v>
      </c>
    </row>
    <row r="783" spans="1:13" ht="15.75" customHeight="1">
      <c r="A783" s="1" t="s">
        <v>317</v>
      </c>
      <c r="B783" s="1" t="str">
        <f>"194973740619"</f>
        <v>194973740619</v>
      </c>
      <c r="C783" s="1" t="s">
        <v>318</v>
      </c>
      <c r="D783" s="2" t="s">
        <v>319</v>
      </c>
      <c r="E783" s="1" t="s">
        <v>257</v>
      </c>
      <c r="F783" s="1" t="s">
        <v>285</v>
      </c>
      <c r="G783" s="1" t="s">
        <v>2211</v>
      </c>
      <c r="H783" s="1" t="s">
        <v>320</v>
      </c>
      <c r="I783" s="1" t="s">
        <v>2220</v>
      </c>
      <c r="J783" s="1" t="s">
        <v>2428</v>
      </c>
      <c r="K783" s="3">
        <v>72</v>
      </c>
      <c r="L783" s="4">
        <v>26</v>
      </c>
      <c r="M783" s="4">
        <f t="shared" si="14"/>
        <v>1872</v>
      </c>
    </row>
    <row r="784" spans="1:13" ht="15.75" customHeight="1">
      <c r="A784" s="1" t="s">
        <v>321</v>
      </c>
      <c r="B784" s="1" t="str">
        <f>"194973740602"</f>
        <v>194973740602</v>
      </c>
      <c r="C784" s="1" t="s">
        <v>322</v>
      </c>
      <c r="D784" s="2" t="s">
        <v>319</v>
      </c>
      <c r="E784" s="1" t="s">
        <v>257</v>
      </c>
      <c r="F784" s="1" t="s">
        <v>285</v>
      </c>
      <c r="G784" s="1" t="s">
        <v>2411</v>
      </c>
      <c r="H784" s="1" t="s">
        <v>320</v>
      </c>
      <c r="I784" s="1" t="s">
        <v>2220</v>
      </c>
      <c r="J784" s="1" t="s">
        <v>2428</v>
      </c>
      <c r="K784" s="3">
        <v>112</v>
      </c>
      <c r="L784" s="4">
        <v>26</v>
      </c>
      <c r="M784" s="4">
        <f t="shared" si="14"/>
        <v>2912</v>
      </c>
    </row>
    <row r="785" spans="1:13" ht="15.75" customHeight="1">
      <c r="A785" s="1" t="s">
        <v>323</v>
      </c>
      <c r="B785" s="1" t="str">
        <f>"194973740596"</f>
        <v>194973740596</v>
      </c>
      <c r="C785" s="1" t="s">
        <v>324</v>
      </c>
      <c r="D785" s="2" t="s">
        <v>319</v>
      </c>
      <c r="E785" s="1" t="s">
        <v>257</v>
      </c>
      <c r="F785" s="1" t="s">
        <v>285</v>
      </c>
      <c r="G785" s="1" t="s">
        <v>2219</v>
      </c>
      <c r="H785" s="1" t="s">
        <v>320</v>
      </c>
      <c r="I785" s="1" t="s">
        <v>2220</v>
      </c>
      <c r="J785" s="1" t="s">
        <v>2428</v>
      </c>
      <c r="K785" s="3">
        <v>6</v>
      </c>
      <c r="L785" s="4">
        <v>26</v>
      </c>
      <c r="M785" s="4">
        <f t="shared" si="14"/>
        <v>156</v>
      </c>
    </row>
    <row r="786" spans="1:13" ht="15.75" customHeight="1">
      <c r="A786" s="1" t="s">
        <v>325</v>
      </c>
      <c r="B786" s="1" t="str">
        <f>"194973740626"</f>
        <v>194973740626</v>
      </c>
      <c r="C786" s="1" t="s">
        <v>326</v>
      </c>
      <c r="D786" s="2" t="s">
        <v>319</v>
      </c>
      <c r="E786" s="1" t="s">
        <v>257</v>
      </c>
      <c r="F786" s="1" t="s">
        <v>285</v>
      </c>
      <c r="G786" s="1" t="s">
        <v>2418</v>
      </c>
      <c r="H786" s="1" t="s">
        <v>320</v>
      </c>
      <c r="I786" s="1" t="s">
        <v>2220</v>
      </c>
      <c r="J786" s="1" t="s">
        <v>2428</v>
      </c>
      <c r="K786" s="3">
        <v>43</v>
      </c>
      <c r="L786" s="4">
        <v>26</v>
      </c>
      <c r="M786" s="4">
        <f t="shared" si="14"/>
        <v>1118</v>
      </c>
    </row>
    <row r="787" spans="1:13" ht="15.75" customHeight="1">
      <c r="A787" s="1" t="s">
        <v>327</v>
      </c>
      <c r="B787" s="1" t="str">
        <f>"195883681306"</f>
        <v>195883681306</v>
      </c>
      <c r="C787" s="1" t="s">
        <v>328</v>
      </c>
      <c r="D787" s="2" t="s">
        <v>329</v>
      </c>
      <c r="E787" s="1" t="s">
        <v>257</v>
      </c>
      <c r="F787" s="1" t="s">
        <v>330</v>
      </c>
      <c r="G787" s="1" t="s">
        <v>2418</v>
      </c>
      <c r="H787" s="1" t="s">
        <v>331</v>
      </c>
      <c r="I787" s="1" t="s">
        <v>2220</v>
      </c>
      <c r="J787" s="1" t="s">
        <v>2428</v>
      </c>
      <c r="K787" s="3">
        <v>5</v>
      </c>
      <c r="L787" s="4">
        <v>26</v>
      </c>
      <c r="M787" s="4">
        <f t="shared" si="14"/>
        <v>130</v>
      </c>
    </row>
    <row r="788" spans="1:13" ht="15.75" customHeight="1">
      <c r="A788" s="1" t="s">
        <v>332</v>
      </c>
      <c r="B788" s="1" t="str">
        <f>"196325383673"</f>
        <v>196325383673</v>
      </c>
      <c r="C788" s="1" t="s">
        <v>333</v>
      </c>
      <c r="D788" s="2" t="s">
        <v>334</v>
      </c>
      <c r="E788" s="1" t="s">
        <v>257</v>
      </c>
      <c r="F788" s="1" t="s">
        <v>335</v>
      </c>
      <c r="G788" s="1" t="s">
        <v>2211</v>
      </c>
      <c r="H788" s="1" t="s">
        <v>336</v>
      </c>
      <c r="I788" s="1" t="s">
        <v>2220</v>
      </c>
      <c r="J788" s="1" t="s">
        <v>2432</v>
      </c>
      <c r="K788" s="3">
        <v>7</v>
      </c>
      <c r="L788" s="4">
        <v>48</v>
      </c>
      <c r="M788" s="4">
        <f t="shared" si="14"/>
        <v>336</v>
      </c>
    </row>
    <row r="789" spans="1:13" ht="15.75" customHeight="1">
      <c r="A789" s="1" t="s">
        <v>337</v>
      </c>
      <c r="B789" s="1" t="str">
        <f>"196325383666"</f>
        <v>196325383666</v>
      </c>
      <c r="C789" s="1" t="s">
        <v>338</v>
      </c>
      <c r="D789" s="2" t="s">
        <v>334</v>
      </c>
      <c r="E789" s="1" t="s">
        <v>257</v>
      </c>
      <c r="F789" s="1" t="s">
        <v>335</v>
      </c>
      <c r="G789" s="1" t="s">
        <v>2411</v>
      </c>
      <c r="H789" s="1" t="s">
        <v>336</v>
      </c>
      <c r="I789" s="1" t="s">
        <v>2220</v>
      </c>
      <c r="J789" s="1" t="s">
        <v>2432</v>
      </c>
      <c r="K789" s="3">
        <v>106</v>
      </c>
      <c r="L789" s="4">
        <v>48</v>
      </c>
      <c r="M789" s="4">
        <f t="shared" si="14"/>
        <v>5088</v>
      </c>
    </row>
    <row r="790" spans="1:13" ht="15.75" customHeight="1">
      <c r="A790" s="1" t="s">
        <v>339</v>
      </c>
      <c r="B790" s="1" t="str">
        <f>"196325383659"</f>
        <v>196325383659</v>
      </c>
      <c r="C790" s="1" t="s">
        <v>340</v>
      </c>
      <c r="D790" s="2" t="s">
        <v>334</v>
      </c>
      <c r="E790" s="1" t="s">
        <v>257</v>
      </c>
      <c r="F790" s="1" t="s">
        <v>335</v>
      </c>
      <c r="G790" s="1" t="s">
        <v>2219</v>
      </c>
      <c r="H790" s="1" t="s">
        <v>336</v>
      </c>
      <c r="I790" s="1" t="s">
        <v>2220</v>
      </c>
      <c r="J790" s="1" t="s">
        <v>2432</v>
      </c>
      <c r="K790" s="3">
        <v>2</v>
      </c>
      <c r="L790" s="4">
        <v>48</v>
      </c>
      <c r="M790" s="4">
        <f t="shared" si="14"/>
        <v>96</v>
      </c>
    </row>
    <row r="791" spans="1:13" ht="15.75" customHeight="1">
      <c r="A791" s="1" t="s">
        <v>341</v>
      </c>
      <c r="B791" s="1" t="str">
        <f>"195883328010"</f>
        <v>195883328010</v>
      </c>
      <c r="C791" s="1" t="s">
        <v>342</v>
      </c>
      <c r="D791" s="2" t="s">
        <v>343</v>
      </c>
      <c r="E791" s="1" t="s">
        <v>257</v>
      </c>
      <c r="F791" s="1" t="s">
        <v>278</v>
      </c>
      <c r="G791" s="1" t="s">
        <v>2211</v>
      </c>
      <c r="H791" s="1" t="s">
        <v>344</v>
      </c>
      <c r="I791" s="1" t="s">
        <v>2220</v>
      </c>
      <c r="J791" s="1" t="s">
        <v>2428</v>
      </c>
      <c r="K791" s="3">
        <v>17</v>
      </c>
      <c r="L791" s="4">
        <v>26</v>
      </c>
      <c r="M791" s="4">
        <f t="shared" si="14"/>
        <v>442</v>
      </c>
    </row>
    <row r="792" spans="1:13" ht="15.75" customHeight="1">
      <c r="A792" s="1" t="s">
        <v>345</v>
      </c>
      <c r="B792" s="1" t="str">
        <f>"195883328003"</f>
        <v>195883328003</v>
      </c>
      <c r="C792" s="1" t="s">
        <v>346</v>
      </c>
      <c r="D792" s="2" t="s">
        <v>343</v>
      </c>
      <c r="E792" s="1" t="s">
        <v>257</v>
      </c>
      <c r="F792" s="1" t="s">
        <v>278</v>
      </c>
      <c r="G792" s="1" t="s">
        <v>2411</v>
      </c>
      <c r="H792" s="1" t="s">
        <v>344</v>
      </c>
      <c r="I792" s="1" t="s">
        <v>2220</v>
      </c>
      <c r="J792" s="1" t="s">
        <v>2428</v>
      </c>
      <c r="K792" s="3">
        <v>124</v>
      </c>
      <c r="L792" s="4">
        <v>26</v>
      </c>
      <c r="M792" s="4">
        <f t="shared" si="14"/>
        <v>3224</v>
      </c>
    </row>
    <row r="793" spans="1:13" ht="15.75" customHeight="1">
      <c r="A793" s="1" t="s">
        <v>347</v>
      </c>
      <c r="B793" s="1" t="str">
        <f>"195883327990"</f>
        <v>195883327990</v>
      </c>
      <c r="C793" s="1" t="s">
        <v>348</v>
      </c>
      <c r="D793" s="2" t="s">
        <v>343</v>
      </c>
      <c r="E793" s="1" t="s">
        <v>257</v>
      </c>
      <c r="F793" s="1" t="s">
        <v>278</v>
      </c>
      <c r="G793" s="1" t="s">
        <v>2219</v>
      </c>
      <c r="H793" s="1" t="s">
        <v>344</v>
      </c>
      <c r="I793" s="1" t="s">
        <v>2220</v>
      </c>
      <c r="J793" s="1" t="s">
        <v>2428</v>
      </c>
      <c r="K793" s="3">
        <v>13</v>
      </c>
      <c r="L793" s="4">
        <v>26</v>
      </c>
      <c r="M793" s="4">
        <f t="shared" si="14"/>
        <v>338</v>
      </c>
    </row>
    <row r="794" spans="1:13" ht="15.75" customHeight="1">
      <c r="A794" s="1" t="s">
        <v>349</v>
      </c>
      <c r="B794" s="1" t="str">
        <f>"195883328027"</f>
        <v>195883328027</v>
      </c>
      <c r="C794" s="1" t="s">
        <v>350</v>
      </c>
      <c r="D794" s="2" t="s">
        <v>343</v>
      </c>
      <c r="E794" s="1" t="s">
        <v>257</v>
      </c>
      <c r="F794" s="1" t="s">
        <v>278</v>
      </c>
      <c r="G794" s="1" t="s">
        <v>2418</v>
      </c>
      <c r="H794" s="1" t="s">
        <v>344</v>
      </c>
      <c r="I794" s="1" t="s">
        <v>2220</v>
      </c>
      <c r="J794" s="1" t="s">
        <v>2428</v>
      </c>
      <c r="K794" s="3">
        <v>45</v>
      </c>
      <c r="L794" s="4">
        <v>26</v>
      </c>
      <c r="M794" s="4">
        <f t="shared" si="14"/>
        <v>1170</v>
      </c>
    </row>
    <row r="795" spans="1:13" ht="15.75" customHeight="1">
      <c r="A795" s="1" t="s">
        <v>351</v>
      </c>
      <c r="B795" s="1" t="str">
        <f>"196325385264"</f>
        <v>196325385264</v>
      </c>
      <c r="C795" s="1" t="s">
        <v>352</v>
      </c>
      <c r="D795" s="2" t="s">
        <v>277</v>
      </c>
      <c r="E795" s="1" t="s">
        <v>257</v>
      </c>
      <c r="F795" s="1" t="s">
        <v>278</v>
      </c>
      <c r="G795" s="1" t="str">
        <f>"36"</f>
        <v>36</v>
      </c>
      <c r="H795" s="1" t="s">
        <v>279</v>
      </c>
      <c r="I795" s="1" t="s">
        <v>2220</v>
      </c>
      <c r="J795" s="1" t="s">
        <v>2221</v>
      </c>
      <c r="K795" s="3">
        <v>8</v>
      </c>
      <c r="L795" s="4">
        <v>55</v>
      </c>
      <c r="M795" s="4">
        <f t="shared" si="14"/>
        <v>440</v>
      </c>
    </row>
    <row r="796" spans="1:13" ht="15.75" customHeight="1">
      <c r="A796" s="1" t="s">
        <v>353</v>
      </c>
      <c r="B796" s="1" t="str">
        <f>"196325385271"</f>
        <v>196325385271</v>
      </c>
      <c r="C796" s="1" t="s">
        <v>354</v>
      </c>
      <c r="D796" s="2" t="s">
        <v>277</v>
      </c>
      <c r="E796" s="1" t="s">
        <v>257</v>
      </c>
      <c r="F796" s="1" t="s">
        <v>278</v>
      </c>
      <c r="G796" s="1" t="str">
        <f>"38"</f>
        <v>38</v>
      </c>
      <c r="H796" s="1" t="s">
        <v>279</v>
      </c>
      <c r="I796" s="1" t="s">
        <v>2220</v>
      </c>
      <c r="J796" s="1" t="s">
        <v>2221</v>
      </c>
      <c r="K796" s="3">
        <v>22</v>
      </c>
      <c r="L796" s="4">
        <v>55</v>
      </c>
      <c r="M796" s="4">
        <f t="shared" si="14"/>
        <v>1210</v>
      </c>
    </row>
    <row r="797" spans="1:13" ht="15.75" customHeight="1">
      <c r="A797" s="1" t="s">
        <v>355</v>
      </c>
      <c r="B797" s="1" t="str">
        <f>"195883691114"</f>
        <v>195883691114</v>
      </c>
      <c r="C797" s="1" t="s">
        <v>356</v>
      </c>
      <c r="D797" s="2" t="s">
        <v>357</v>
      </c>
      <c r="E797" s="1" t="s">
        <v>257</v>
      </c>
      <c r="F797" s="1" t="s">
        <v>278</v>
      </c>
      <c r="G797" s="1" t="s">
        <v>2405</v>
      </c>
      <c r="H797" s="1" t="s">
        <v>358</v>
      </c>
      <c r="I797" s="1" t="s">
        <v>2220</v>
      </c>
      <c r="J797" s="1" t="s">
        <v>2221</v>
      </c>
      <c r="K797" s="3">
        <v>8</v>
      </c>
      <c r="L797" s="4">
        <v>55</v>
      </c>
      <c r="M797" s="4">
        <f t="shared" si="14"/>
        <v>440</v>
      </c>
    </row>
    <row r="798" spans="1:13" ht="15.75" customHeight="1">
      <c r="A798" s="1" t="s">
        <v>359</v>
      </c>
      <c r="B798" s="1" t="str">
        <f>"195883691091"</f>
        <v>195883691091</v>
      </c>
      <c r="C798" s="1" t="s">
        <v>360</v>
      </c>
      <c r="D798" s="2" t="s">
        <v>357</v>
      </c>
      <c r="E798" s="1" t="s">
        <v>257</v>
      </c>
      <c r="F798" s="1" t="s">
        <v>278</v>
      </c>
      <c r="G798" s="1" t="s">
        <v>2211</v>
      </c>
      <c r="H798" s="1" t="s">
        <v>358</v>
      </c>
      <c r="I798" s="1" t="s">
        <v>2220</v>
      </c>
      <c r="J798" s="1" t="s">
        <v>2221</v>
      </c>
      <c r="K798" s="3">
        <v>130</v>
      </c>
      <c r="L798" s="4">
        <v>55</v>
      </c>
      <c r="M798" s="4">
        <f t="shared" si="14"/>
        <v>7150</v>
      </c>
    </row>
    <row r="799" spans="1:13" ht="15.75" customHeight="1">
      <c r="A799" s="1" t="s">
        <v>361</v>
      </c>
      <c r="B799" s="1" t="str">
        <f>"195883691084"</f>
        <v>195883691084</v>
      </c>
      <c r="C799" s="1" t="s">
        <v>362</v>
      </c>
      <c r="D799" s="2" t="s">
        <v>357</v>
      </c>
      <c r="E799" s="1" t="s">
        <v>257</v>
      </c>
      <c r="F799" s="1" t="s">
        <v>278</v>
      </c>
      <c r="G799" s="1" t="s">
        <v>2411</v>
      </c>
      <c r="H799" s="1" t="s">
        <v>358</v>
      </c>
      <c r="I799" s="1" t="s">
        <v>2220</v>
      </c>
      <c r="J799" s="1" t="s">
        <v>2221</v>
      </c>
      <c r="K799" s="3">
        <v>76</v>
      </c>
      <c r="L799" s="4">
        <v>55</v>
      </c>
      <c r="M799" s="4">
        <f t="shared" si="14"/>
        <v>4180</v>
      </c>
    </row>
    <row r="800" spans="1:13" ht="15.75" customHeight="1">
      <c r="A800" s="1" t="s">
        <v>363</v>
      </c>
      <c r="B800" s="1" t="str">
        <f>"195883691077"</f>
        <v>195883691077</v>
      </c>
      <c r="C800" s="1" t="s">
        <v>364</v>
      </c>
      <c r="D800" s="2" t="s">
        <v>357</v>
      </c>
      <c r="E800" s="1" t="s">
        <v>257</v>
      </c>
      <c r="F800" s="1" t="s">
        <v>278</v>
      </c>
      <c r="G800" s="1" t="s">
        <v>2219</v>
      </c>
      <c r="H800" s="1" t="s">
        <v>358</v>
      </c>
      <c r="I800" s="1" t="s">
        <v>2220</v>
      </c>
      <c r="J800" s="1" t="s">
        <v>2221</v>
      </c>
      <c r="K800" s="3">
        <v>49</v>
      </c>
      <c r="L800" s="4">
        <v>55</v>
      </c>
      <c r="M800" s="4">
        <f t="shared" si="14"/>
        <v>2695</v>
      </c>
    </row>
    <row r="801" spans="1:13" ht="15.75" customHeight="1">
      <c r="A801" s="1" t="s">
        <v>365</v>
      </c>
      <c r="B801" s="1" t="str">
        <f>"195883691107"</f>
        <v>195883691107</v>
      </c>
      <c r="C801" s="1" t="s">
        <v>366</v>
      </c>
      <c r="D801" s="2" t="s">
        <v>357</v>
      </c>
      <c r="E801" s="1" t="s">
        <v>257</v>
      </c>
      <c r="F801" s="1" t="s">
        <v>278</v>
      </c>
      <c r="G801" s="1" t="s">
        <v>2418</v>
      </c>
      <c r="H801" s="1" t="s">
        <v>358</v>
      </c>
      <c r="I801" s="1" t="s">
        <v>2220</v>
      </c>
      <c r="J801" s="1" t="s">
        <v>2221</v>
      </c>
      <c r="K801" s="3">
        <v>48</v>
      </c>
      <c r="L801" s="4">
        <v>55</v>
      </c>
      <c r="M801" s="4">
        <f t="shared" si="14"/>
        <v>2640</v>
      </c>
    </row>
    <row r="802" spans="1:13" ht="15.75" customHeight="1">
      <c r="A802" s="1" t="s">
        <v>367</v>
      </c>
      <c r="B802" s="1" t="str">
        <f>"196601905353"</f>
        <v>196601905353</v>
      </c>
      <c r="C802" s="9" t="s">
        <v>368</v>
      </c>
      <c r="D802" s="2" t="s">
        <v>369</v>
      </c>
      <c r="E802" s="1" t="s">
        <v>370</v>
      </c>
      <c r="F802" s="1" t="s">
        <v>2210</v>
      </c>
      <c r="G802" s="1" t="s">
        <v>2211</v>
      </c>
      <c r="H802" s="1" t="s">
        <v>371</v>
      </c>
      <c r="I802" s="1" t="s">
        <v>372</v>
      </c>
      <c r="J802" s="1" t="s">
        <v>2815</v>
      </c>
      <c r="K802" s="3">
        <v>62</v>
      </c>
      <c r="L802" s="4">
        <v>149</v>
      </c>
      <c r="M802" s="4">
        <f t="shared" si="14"/>
        <v>9238</v>
      </c>
    </row>
    <row r="803" spans="1:13" ht="15.75" customHeight="1">
      <c r="A803" s="1" t="s">
        <v>373</v>
      </c>
      <c r="B803" s="1" t="str">
        <f>"196601905438"</f>
        <v>196601905438</v>
      </c>
      <c r="C803" s="9" t="s">
        <v>374</v>
      </c>
      <c r="D803" s="2" t="s">
        <v>375</v>
      </c>
      <c r="E803" s="1" t="s">
        <v>370</v>
      </c>
      <c r="F803" s="1" t="s">
        <v>376</v>
      </c>
      <c r="G803" s="1" t="s">
        <v>2211</v>
      </c>
      <c r="H803" s="1" t="s">
        <v>377</v>
      </c>
      <c r="I803" s="1" t="s">
        <v>372</v>
      </c>
      <c r="J803" s="1" t="s">
        <v>2815</v>
      </c>
      <c r="K803" s="3">
        <v>10</v>
      </c>
      <c r="L803" s="4">
        <v>149</v>
      </c>
      <c r="M803" s="4">
        <f t="shared" si="14"/>
        <v>1490</v>
      </c>
    </row>
    <row r="804" spans="1:13" ht="15.75" customHeight="1">
      <c r="A804" s="1" t="s">
        <v>378</v>
      </c>
      <c r="B804" s="1" t="str">
        <f>"196601904929"</f>
        <v>196601904929</v>
      </c>
      <c r="C804" s="9" t="s">
        <v>379</v>
      </c>
      <c r="D804" s="2" t="s">
        <v>380</v>
      </c>
      <c r="E804" s="1" t="s">
        <v>370</v>
      </c>
      <c r="F804" s="1" t="s">
        <v>2210</v>
      </c>
      <c r="G804" s="1" t="s">
        <v>2411</v>
      </c>
      <c r="H804" s="1" t="s">
        <v>381</v>
      </c>
      <c r="I804" s="1" t="s">
        <v>372</v>
      </c>
      <c r="J804" s="1" t="s">
        <v>2815</v>
      </c>
      <c r="K804" s="3">
        <v>1</v>
      </c>
      <c r="L804" s="4">
        <v>149</v>
      </c>
      <c r="M804" s="4">
        <f t="shared" si="14"/>
        <v>149</v>
      </c>
    </row>
    <row r="805" spans="1:13" ht="15.75" customHeight="1">
      <c r="A805" s="1" t="s">
        <v>382</v>
      </c>
      <c r="B805" s="1" t="str">
        <f>"196601905230"</f>
        <v>196601905230</v>
      </c>
      <c r="C805" s="9" t="s">
        <v>383</v>
      </c>
      <c r="D805" s="2" t="s">
        <v>384</v>
      </c>
      <c r="E805" s="1" t="s">
        <v>370</v>
      </c>
      <c r="F805" s="1" t="s">
        <v>385</v>
      </c>
      <c r="G805" s="1" t="s">
        <v>2211</v>
      </c>
      <c r="H805" s="1" t="s">
        <v>386</v>
      </c>
      <c r="I805" s="1" t="s">
        <v>372</v>
      </c>
      <c r="J805" s="1" t="s">
        <v>2815</v>
      </c>
      <c r="K805" s="3">
        <v>16</v>
      </c>
      <c r="L805" s="4">
        <v>149</v>
      </c>
      <c r="M805" s="4">
        <f t="shared" si="14"/>
        <v>2384</v>
      </c>
    </row>
    <row r="806" spans="1:13" ht="15.75" customHeight="1">
      <c r="A806" s="1" t="s">
        <v>387</v>
      </c>
      <c r="B806" s="1" t="str">
        <f>"196601907227"</f>
        <v>196601907227</v>
      </c>
      <c r="C806" s="9" t="s">
        <v>388</v>
      </c>
      <c r="D806" s="2" t="s">
        <v>389</v>
      </c>
      <c r="E806" s="1" t="s">
        <v>370</v>
      </c>
      <c r="F806" s="1" t="s">
        <v>2210</v>
      </c>
      <c r="G806" s="1" t="s">
        <v>2411</v>
      </c>
      <c r="H806" s="1" t="s">
        <v>390</v>
      </c>
      <c r="I806" s="1" t="s">
        <v>2220</v>
      </c>
      <c r="J806" s="1" t="s">
        <v>2815</v>
      </c>
      <c r="K806" s="3">
        <v>16</v>
      </c>
      <c r="L806" s="4">
        <v>129</v>
      </c>
      <c r="M806" s="4">
        <f t="shared" si="14"/>
        <v>2064</v>
      </c>
    </row>
    <row r="807" spans="1:13" ht="15.75" customHeight="1">
      <c r="A807" s="1" t="s">
        <v>391</v>
      </c>
      <c r="B807" s="1" t="str">
        <f>"196601907234"</f>
        <v>196601907234</v>
      </c>
      <c r="C807" s="9" t="s">
        <v>392</v>
      </c>
      <c r="D807" s="2" t="s">
        <v>389</v>
      </c>
      <c r="E807" s="1" t="s">
        <v>370</v>
      </c>
      <c r="F807" s="1" t="s">
        <v>2210</v>
      </c>
      <c r="G807" s="1" t="s">
        <v>2219</v>
      </c>
      <c r="H807" s="1" t="s">
        <v>390</v>
      </c>
      <c r="I807" s="1" t="s">
        <v>2220</v>
      </c>
      <c r="J807" s="1" t="s">
        <v>2815</v>
      </c>
      <c r="K807" s="3">
        <v>76</v>
      </c>
      <c r="L807" s="4">
        <v>129</v>
      </c>
      <c r="M807" s="4">
        <f t="shared" si="14"/>
        <v>9804</v>
      </c>
    </row>
    <row r="808" spans="1:13" ht="15.75" customHeight="1">
      <c r="A808" s="1" t="s">
        <v>393</v>
      </c>
      <c r="B808" s="1" t="str">
        <f>"196601905575"</f>
        <v>196601905575</v>
      </c>
      <c r="C808" s="9" t="s">
        <v>394</v>
      </c>
      <c r="D808" s="2" t="s">
        <v>395</v>
      </c>
      <c r="E808" s="1" t="s">
        <v>370</v>
      </c>
      <c r="F808" s="1" t="s">
        <v>396</v>
      </c>
      <c r="G808" s="1" t="s">
        <v>2219</v>
      </c>
      <c r="H808" s="1" t="s">
        <v>397</v>
      </c>
      <c r="I808" s="1" t="s">
        <v>2220</v>
      </c>
      <c r="J808" s="1" t="s">
        <v>2815</v>
      </c>
      <c r="K808" s="3">
        <v>11</v>
      </c>
      <c r="L808" s="4">
        <v>129</v>
      </c>
      <c r="M808" s="4">
        <f t="shared" si="14"/>
        <v>1419</v>
      </c>
    </row>
    <row r="809" spans="1:13" ht="15.75" customHeight="1">
      <c r="A809" s="1" t="s">
        <v>398</v>
      </c>
      <c r="B809" s="1" t="str">
        <f>"196601120558"</f>
        <v>196601120558</v>
      </c>
      <c r="C809" s="9" t="s">
        <v>399</v>
      </c>
      <c r="D809" s="2" t="s">
        <v>400</v>
      </c>
      <c r="E809" s="1" t="s">
        <v>370</v>
      </c>
      <c r="F809" s="1" t="s">
        <v>2210</v>
      </c>
      <c r="G809" s="1" t="s">
        <v>2411</v>
      </c>
      <c r="H809" s="1" t="s">
        <v>401</v>
      </c>
      <c r="I809" s="1" t="s">
        <v>2220</v>
      </c>
      <c r="J809" s="1" t="s">
        <v>2432</v>
      </c>
      <c r="K809" s="3">
        <v>31</v>
      </c>
      <c r="L809" s="4">
        <v>29</v>
      </c>
      <c r="M809" s="4">
        <f t="shared" si="14"/>
        <v>899</v>
      </c>
    </row>
    <row r="810" spans="1:13" ht="15.75" customHeight="1">
      <c r="A810" s="1" t="s">
        <v>402</v>
      </c>
      <c r="B810" s="1" t="str">
        <f>"197571199292"</f>
        <v>197571199292</v>
      </c>
      <c r="C810" s="9" t="s">
        <v>403</v>
      </c>
      <c r="D810" s="2" t="s">
        <v>404</v>
      </c>
      <c r="E810" s="1" t="s">
        <v>370</v>
      </c>
      <c r="F810" s="1" t="s">
        <v>2210</v>
      </c>
      <c r="G810" s="1" t="s">
        <v>2411</v>
      </c>
      <c r="H810" s="1" t="s">
        <v>405</v>
      </c>
      <c r="I810" s="1" t="s">
        <v>2220</v>
      </c>
      <c r="J810" s="1" t="s">
        <v>2428</v>
      </c>
      <c r="K810" s="3">
        <v>73</v>
      </c>
      <c r="L810" s="4">
        <v>29.5</v>
      </c>
      <c r="M810" s="4">
        <f t="shared" si="14"/>
        <v>2153.5</v>
      </c>
    </row>
    <row r="811" spans="1:13" ht="15.75" customHeight="1">
      <c r="A811" s="1" t="s">
        <v>406</v>
      </c>
      <c r="B811" s="1" t="str">
        <f>"197571199308"</f>
        <v>197571199308</v>
      </c>
      <c r="C811" s="9" t="s">
        <v>407</v>
      </c>
      <c r="D811" s="2" t="s">
        <v>404</v>
      </c>
      <c r="E811" s="1" t="s">
        <v>370</v>
      </c>
      <c r="F811" s="1" t="s">
        <v>2210</v>
      </c>
      <c r="G811" s="1" t="s">
        <v>2219</v>
      </c>
      <c r="H811" s="1" t="s">
        <v>405</v>
      </c>
      <c r="I811" s="1" t="s">
        <v>2220</v>
      </c>
      <c r="J811" s="1" t="s">
        <v>2428</v>
      </c>
      <c r="K811" s="3">
        <v>49</v>
      </c>
      <c r="L811" s="4">
        <v>29.5</v>
      </c>
      <c r="M811" s="4">
        <f t="shared" si="14"/>
        <v>1445.5</v>
      </c>
    </row>
    <row r="812" spans="1:13" ht="15.75" customHeight="1">
      <c r="A812" s="1" t="s">
        <v>408</v>
      </c>
      <c r="B812" s="1" t="str">
        <f>"197571199452"</f>
        <v>197571199452</v>
      </c>
      <c r="C812" s="9" t="s">
        <v>409</v>
      </c>
      <c r="D812" s="2" t="s">
        <v>410</v>
      </c>
      <c r="E812" s="1" t="s">
        <v>370</v>
      </c>
      <c r="F812" s="1" t="s">
        <v>411</v>
      </c>
      <c r="G812" s="1" t="s">
        <v>2411</v>
      </c>
      <c r="H812" s="1" t="s">
        <v>412</v>
      </c>
      <c r="I812" s="1" t="s">
        <v>2220</v>
      </c>
      <c r="J812" s="1" t="s">
        <v>2428</v>
      </c>
      <c r="K812" s="3">
        <v>28</v>
      </c>
      <c r="L812" s="4">
        <v>29.5</v>
      </c>
      <c r="M812" s="4">
        <f t="shared" si="14"/>
        <v>826</v>
      </c>
    </row>
    <row r="813" spans="1:13" ht="15.75" customHeight="1">
      <c r="A813" s="1" t="s">
        <v>413</v>
      </c>
      <c r="B813" s="1" t="str">
        <f>"197571199469"</f>
        <v>197571199469</v>
      </c>
      <c r="C813" s="9" t="s">
        <v>414</v>
      </c>
      <c r="D813" s="2" t="s">
        <v>410</v>
      </c>
      <c r="E813" s="1" t="s">
        <v>370</v>
      </c>
      <c r="F813" s="1" t="s">
        <v>411</v>
      </c>
      <c r="G813" s="1" t="s">
        <v>2219</v>
      </c>
      <c r="H813" s="1" t="s">
        <v>412</v>
      </c>
      <c r="I813" s="1" t="s">
        <v>2220</v>
      </c>
      <c r="J813" s="1" t="s">
        <v>2428</v>
      </c>
      <c r="K813" s="3">
        <v>5</v>
      </c>
      <c r="L813" s="4">
        <v>29.5</v>
      </c>
      <c r="M813" s="4">
        <f t="shared" si="14"/>
        <v>147.5</v>
      </c>
    </row>
    <row r="814" spans="1:13" ht="15.75" customHeight="1">
      <c r="A814" s="1" t="s">
        <v>415</v>
      </c>
      <c r="B814" s="1" t="str">
        <f>"197571199339"</f>
        <v>197571199339</v>
      </c>
      <c r="C814" s="9" t="s">
        <v>416</v>
      </c>
      <c r="D814" s="2" t="s">
        <v>417</v>
      </c>
      <c r="E814" s="1" t="s">
        <v>370</v>
      </c>
      <c r="F814" s="1" t="s">
        <v>418</v>
      </c>
      <c r="G814" s="1" t="s">
        <v>2411</v>
      </c>
      <c r="H814" s="1" t="s">
        <v>419</v>
      </c>
      <c r="I814" s="1" t="s">
        <v>2220</v>
      </c>
      <c r="J814" s="1" t="s">
        <v>2428</v>
      </c>
      <c r="K814" s="3">
        <v>16</v>
      </c>
      <c r="L814" s="4">
        <v>29.5</v>
      </c>
      <c r="M814" s="4">
        <f t="shared" si="14"/>
        <v>472</v>
      </c>
    </row>
    <row r="815" spans="1:13" ht="15.75" customHeight="1">
      <c r="A815" s="1" t="s">
        <v>420</v>
      </c>
      <c r="B815" s="1" t="str">
        <f>"197571199346"</f>
        <v>197571199346</v>
      </c>
      <c r="C815" s="9" t="s">
        <v>421</v>
      </c>
      <c r="D815" s="2" t="s">
        <v>417</v>
      </c>
      <c r="E815" s="1" t="s">
        <v>370</v>
      </c>
      <c r="F815" s="1" t="s">
        <v>418</v>
      </c>
      <c r="G815" s="1" t="s">
        <v>2219</v>
      </c>
      <c r="H815" s="1" t="s">
        <v>419</v>
      </c>
      <c r="I815" s="1" t="s">
        <v>2220</v>
      </c>
      <c r="J815" s="1" t="s">
        <v>2428</v>
      </c>
      <c r="K815" s="3">
        <v>34</v>
      </c>
      <c r="L815" s="4">
        <v>29.5</v>
      </c>
      <c r="M815" s="4">
        <f t="shared" si="14"/>
        <v>1003</v>
      </c>
    </row>
    <row r="816" spans="1:13" ht="15.75" customHeight="1">
      <c r="A816" s="1" t="s">
        <v>422</v>
      </c>
      <c r="B816" s="1" t="str">
        <f>"197571199377"</f>
        <v>197571199377</v>
      </c>
      <c r="C816" s="9" t="s">
        <v>423</v>
      </c>
      <c r="D816" s="2" t="s">
        <v>424</v>
      </c>
      <c r="E816" s="1" t="s">
        <v>370</v>
      </c>
      <c r="F816" s="1" t="s">
        <v>2516</v>
      </c>
      <c r="G816" s="1" t="s">
        <v>2411</v>
      </c>
      <c r="H816" s="1" t="s">
        <v>425</v>
      </c>
      <c r="I816" s="1" t="s">
        <v>2220</v>
      </c>
      <c r="J816" s="1" t="s">
        <v>2428</v>
      </c>
      <c r="K816" s="3">
        <v>70</v>
      </c>
      <c r="L816" s="4">
        <v>29.5</v>
      </c>
      <c r="M816" s="4">
        <f t="shared" si="14"/>
        <v>2065</v>
      </c>
    </row>
    <row r="817" spans="1:13" ht="15.75" customHeight="1">
      <c r="A817" s="1" t="s">
        <v>426</v>
      </c>
      <c r="B817" s="1" t="str">
        <f>"197571199384"</f>
        <v>197571199384</v>
      </c>
      <c r="C817" s="9" t="s">
        <v>427</v>
      </c>
      <c r="D817" s="2" t="s">
        <v>424</v>
      </c>
      <c r="E817" s="1" t="s">
        <v>370</v>
      </c>
      <c r="F817" s="1" t="s">
        <v>2516</v>
      </c>
      <c r="G817" s="1" t="s">
        <v>2219</v>
      </c>
      <c r="H817" s="1" t="s">
        <v>425</v>
      </c>
      <c r="I817" s="1" t="s">
        <v>2220</v>
      </c>
      <c r="J817" s="1" t="s">
        <v>2428</v>
      </c>
      <c r="K817" s="3">
        <v>18</v>
      </c>
      <c r="L817" s="4">
        <v>29.5</v>
      </c>
      <c r="M817" s="4">
        <f t="shared" si="14"/>
        <v>531</v>
      </c>
    </row>
    <row r="818" spans="1:13" ht="15.75" customHeight="1">
      <c r="A818" s="1" t="s">
        <v>428</v>
      </c>
      <c r="B818" s="1" t="str">
        <f>"192636647596"</f>
        <v>192636647596</v>
      </c>
      <c r="C818" s="9" t="s">
        <v>429</v>
      </c>
      <c r="D818" s="2" t="s">
        <v>430</v>
      </c>
      <c r="E818" s="1" t="s">
        <v>370</v>
      </c>
      <c r="F818" s="1" t="s">
        <v>2210</v>
      </c>
      <c r="G818" s="1" t="s">
        <v>2219</v>
      </c>
      <c r="H818" s="1" t="s">
        <v>431</v>
      </c>
      <c r="I818" s="1" t="s">
        <v>2220</v>
      </c>
      <c r="J818" s="1" t="s">
        <v>2235</v>
      </c>
      <c r="K818" s="3">
        <v>13</v>
      </c>
      <c r="L818" s="4">
        <v>79</v>
      </c>
      <c r="M818" s="4">
        <f t="shared" si="14"/>
        <v>1027</v>
      </c>
    </row>
    <row r="819" spans="1:13" ht="15.75" customHeight="1">
      <c r="A819" s="1" t="s">
        <v>432</v>
      </c>
      <c r="B819" s="1" t="str">
        <f>"192636644717"</f>
        <v>192636644717</v>
      </c>
      <c r="C819" s="9" t="s">
        <v>433</v>
      </c>
      <c r="D819" s="2"/>
      <c r="E819" s="1" t="s">
        <v>370</v>
      </c>
      <c r="F819" s="1" t="s">
        <v>2272</v>
      </c>
      <c r="G819" s="1" t="s">
        <v>2211</v>
      </c>
      <c r="H819" s="1" t="s">
        <v>431</v>
      </c>
      <c r="I819" s="1" t="s">
        <v>2220</v>
      </c>
      <c r="J819" s="1" t="s">
        <v>2235</v>
      </c>
      <c r="K819" s="3">
        <v>1</v>
      </c>
      <c r="L819" s="4">
        <v>79</v>
      </c>
      <c r="M819" s="4">
        <f t="shared" si="14"/>
        <v>79</v>
      </c>
    </row>
    <row r="820" spans="1:13" ht="15.75" customHeight="1">
      <c r="A820" s="1" t="s">
        <v>434</v>
      </c>
      <c r="B820" s="1" t="str">
        <f>"197571199667"</f>
        <v>197571199667</v>
      </c>
      <c r="C820" s="9" t="s">
        <v>435</v>
      </c>
      <c r="D820" s="2" t="s">
        <v>436</v>
      </c>
      <c r="E820" s="1" t="s">
        <v>370</v>
      </c>
      <c r="F820" s="1" t="s">
        <v>2210</v>
      </c>
      <c r="G820" s="1" t="s">
        <v>2219</v>
      </c>
      <c r="H820" s="1" t="s">
        <v>437</v>
      </c>
      <c r="I820" s="1" t="s">
        <v>2220</v>
      </c>
      <c r="J820" s="1" t="s">
        <v>1226</v>
      </c>
      <c r="K820" s="3">
        <v>21</v>
      </c>
      <c r="L820" s="4">
        <v>49.5</v>
      </c>
      <c r="M820" s="4">
        <f t="shared" si="14"/>
        <v>1039.5</v>
      </c>
    </row>
    <row r="821" spans="1:13" ht="15.75" customHeight="1">
      <c r="A821" s="1" t="s">
        <v>438</v>
      </c>
      <c r="B821" s="1" t="str">
        <f>"197571199698"</f>
        <v>197571199698</v>
      </c>
      <c r="C821" s="9" t="s">
        <v>439</v>
      </c>
      <c r="D821" s="2" t="s">
        <v>440</v>
      </c>
      <c r="E821" s="1" t="s">
        <v>370</v>
      </c>
      <c r="F821" s="1" t="s">
        <v>418</v>
      </c>
      <c r="G821" s="1" t="s">
        <v>2411</v>
      </c>
      <c r="H821" s="1" t="s">
        <v>441</v>
      </c>
      <c r="I821" s="1" t="s">
        <v>2220</v>
      </c>
      <c r="J821" s="1" t="s">
        <v>1226</v>
      </c>
      <c r="K821" s="3">
        <v>88</v>
      </c>
      <c r="L821" s="4">
        <v>49.5</v>
      </c>
      <c r="M821" s="4">
        <f t="shared" si="14"/>
        <v>4356</v>
      </c>
    </row>
    <row r="822" spans="1:13" ht="15.75" customHeight="1">
      <c r="A822" s="1" t="s">
        <v>442</v>
      </c>
      <c r="B822" s="1" t="str">
        <f>"197571199704"</f>
        <v>197571199704</v>
      </c>
      <c r="C822" s="9" t="s">
        <v>443</v>
      </c>
      <c r="D822" s="2" t="s">
        <v>440</v>
      </c>
      <c r="E822" s="1" t="s">
        <v>370</v>
      </c>
      <c r="F822" s="1" t="s">
        <v>418</v>
      </c>
      <c r="G822" s="1" t="s">
        <v>2219</v>
      </c>
      <c r="H822" s="1" t="s">
        <v>441</v>
      </c>
      <c r="I822" s="1" t="s">
        <v>2220</v>
      </c>
      <c r="J822" s="1" t="s">
        <v>1226</v>
      </c>
      <c r="K822" s="3">
        <v>104</v>
      </c>
      <c r="L822" s="4">
        <v>49.5</v>
      </c>
      <c r="M822" s="4">
        <f t="shared" si="14"/>
        <v>5148</v>
      </c>
    </row>
    <row r="823" spans="1:13" ht="15.75" customHeight="1">
      <c r="A823" s="1" t="s">
        <v>444</v>
      </c>
      <c r="B823" s="1" t="str">
        <f>"197571199742"</f>
        <v>197571199742</v>
      </c>
      <c r="C823" s="9" t="s">
        <v>445</v>
      </c>
      <c r="D823" s="2" t="s">
        <v>446</v>
      </c>
      <c r="E823" s="1" t="s">
        <v>370</v>
      </c>
      <c r="F823" s="1" t="s">
        <v>385</v>
      </c>
      <c r="G823" s="1" t="s">
        <v>2219</v>
      </c>
      <c r="H823" s="1" t="s">
        <v>447</v>
      </c>
      <c r="I823" s="1" t="s">
        <v>2220</v>
      </c>
      <c r="J823" s="1" t="s">
        <v>1226</v>
      </c>
      <c r="K823" s="3">
        <v>43</v>
      </c>
      <c r="L823" s="4">
        <v>49.5</v>
      </c>
      <c r="M823" s="4">
        <f t="shared" si="14"/>
        <v>2128.5</v>
      </c>
    </row>
    <row r="824" spans="1:13" ht="15.75" customHeight="1">
      <c r="A824" s="1" t="s">
        <v>448</v>
      </c>
      <c r="B824" s="1" t="str">
        <f>"197571198738"</f>
        <v>197571198738</v>
      </c>
      <c r="C824" s="9" t="s">
        <v>449</v>
      </c>
      <c r="D824" s="2" t="s">
        <v>450</v>
      </c>
      <c r="E824" s="1" t="s">
        <v>370</v>
      </c>
      <c r="F824" s="1" t="s">
        <v>396</v>
      </c>
      <c r="G824" s="1" t="s">
        <v>2411</v>
      </c>
      <c r="H824" s="1" t="s">
        <v>451</v>
      </c>
      <c r="I824" s="1" t="s">
        <v>2220</v>
      </c>
      <c r="J824" s="1" t="s">
        <v>1226</v>
      </c>
      <c r="K824" s="3">
        <v>306</v>
      </c>
      <c r="L824" s="4">
        <v>49.5</v>
      </c>
      <c r="M824" s="4">
        <f t="shared" si="14"/>
        <v>15147</v>
      </c>
    </row>
    <row r="825" spans="1:13" ht="15.75" customHeight="1">
      <c r="A825" s="1" t="s">
        <v>452</v>
      </c>
      <c r="B825" s="1" t="str">
        <f>"197571198745"</f>
        <v>197571198745</v>
      </c>
      <c r="C825" s="9" t="s">
        <v>453</v>
      </c>
      <c r="D825" s="2" t="s">
        <v>450</v>
      </c>
      <c r="E825" s="1" t="s">
        <v>370</v>
      </c>
      <c r="F825" s="1" t="s">
        <v>396</v>
      </c>
      <c r="G825" s="1" t="s">
        <v>2219</v>
      </c>
      <c r="H825" s="1" t="s">
        <v>451</v>
      </c>
      <c r="I825" s="1" t="s">
        <v>2220</v>
      </c>
      <c r="J825" s="1" t="s">
        <v>1226</v>
      </c>
      <c r="K825" s="3">
        <v>190</v>
      </c>
      <c r="L825" s="4">
        <v>49.5</v>
      </c>
      <c r="M825" s="4">
        <f t="shared" si="14"/>
        <v>9405</v>
      </c>
    </row>
    <row r="826" spans="1:13" ht="15.75" customHeight="1">
      <c r="A826" s="1" t="s">
        <v>454</v>
      </c>
      <c r="B826" s="1" t="str">
        <f>"197571198776"</f>
        <v>197571198776</v>
      </c>
      <c r="C826" s="9" t="s">
        <v>455</v>
      </c>
      <c r="D826" s="2" t="s">
        <v>456</v>
      </c>
      <c r="E826" s="1" t="s">
        <v>370</v>
      </c>
      <c r="F826" s="1" t="s">
        <v>2516</v>
      </c>
      <c r="G826" s="1" t="s">
        <v>2411</v>
      </c>
      <c r="H826" s="1" t="s">
        <v>457</v>
      </c>
      <c r="I826" s="1" t="s">
        <v>2220</v>
      </c>
      <c r="J826" s="1" t="s">
        <v>1226</v>
      </c>
      <c r="K826" s="3">
        <v>41</v>
      </c>
      <c r="L826" s="4">
        <v>49.5</v>
      </c>
      <c r="M826" s="4">
        <f t="shared" si="14"/>
        <v>2029.5</v>
      </c>
    </row>
    <row r="827" spans="1:13" ht="15.75" customHeight="1">
      <c r="A827" s="1" t="s">
        <v>458</v>
      </c>
      <c r="B827" s="1" t="str">
        <f>"197571198783"</f>
        <v>197571198783</v>
      </c>
      <c r="C827" s="9" t="s">
        <v>459</v>
      </c>
      <c r="D827" s="2" t="s">
        <v>456</v>
      </c>
      <c r="E827" s="1" t="s">
        <v>370</v>
      </c>
      <c r="F827" s="1" t="s">
        <v>2516</v>
      </c>
      <c r="G827" s="1" t="s">
        <v>2219</v>
      </c>
      <c r="H827" s="1" t="s">
        <v>457</v>
      </c>
      <c r="I827" s="1" t="s">
        <v>2220</v>
      </c>
      <c r="J827" s="1" t="s">
        <v>1226</v>
      </c>
      <c r="K827" s="3">
        <v>6</v>
      </c>
      <c r="L827" s="4">
        <v>49.5</v>
      </c>
      <c r="M827" s="4">
        <f t="shared" si="14"/>
        <v>297</v>
      </c>
    </row>
    <row r="828" spans="1:13" ht="15.75" customHeight="1">
      <c r="A828" s="1" t="s">
        <v>460</v>
      </c>
      <c r="B828" s="1" t="str">
        <f>"196601084775"</f>
        <v>196601084775</v>
      </c>
      <c r="C828" s="9" t="s">
        <v>461</v>
      </c>
      <c r="D828" s="2" t="s">
        <v>462</v>
      </c>
      <c r="E828" s="1" t="s">
        <v>370</v>
      </c>
      <c r="F828" s="1" t="s">
        <v>877</v>
      </c>
      <c r="G828" s="1" t="s">
        <v>2411</v>
      </c>
      <c r="H828" s="1" t="s">
        <v>463</v>
      </c>
      <c r="I828" s="1" t="s">
        <v>2220</v>
      </c>
      <c r="J828" s="1" t="s">
        <v>2815</v>
      </c>
      <c r="K828" s="3">
        <v>146</v>
      </c>
      <c r="L828" s="4">
        <v>129</v>
      </c>
      <c r="M828" s="4">
        <f t="shared" si="14"/>
        <v>18834</v>
      </c>
    </row>
    <row r="829" spans="1:13" ht="15.75" customHeight="1">
      <c r="A829" s="1" t="s">
        <v>464</v>
      </c>
      <c r="B829" s="1" t="str">
        <f>"196601084782"</f>
        <v>196601084782</v>
      </c>
      <c r="C829" s="9" t="s">
        <v>465</v>
      </c>
      <c r="D829" s="2" t="s">
        <v>462</v>
      </c>
      <c r="E829" s="1" t="s">
        <v>370</v>
      </c>
      <c r="F829" s="1" t="s">
        <v>877</v>
      </c>
      <c r="G829" s="1" t="s">
        <v>2219</v>
      </c>
      <c r="H829" s="1" t="s">
        <v>463</v>
      </c>
      <c r="I829" s="1" t="s">
        <v>2220</v>
      </c>
      <c r="J829" s="1" t="s">
        <v>2815</v>
      </c>
      <c r="K829" s="3">
        <v>74</v>
      </c>
      <c r="L829" s="4">
        <v>129</v>
      </c>
      <c r="M829" s="4">
        <f t="shared" si="14"/>
        <v>9546</v>
      </c>
    </row>
    <row r="830" spans="1:13" ht="15.75" customHeight="1">
      <c r="A830" s="1" t="s">
        <v>466</v>
      </c>
      <c r="B830" s="1" t="str">
        <f>"196601084850"</f>
        <v>196601084850</v>
      </c>
      <c r="C830" s="9" t="s">
        <v>467</v>
      </c>
      <c r="D830" s="2" t="s">
        <v>468</v>
      </c>
      <c r="E830" s="1" t="s">
        <v>370</v>
      </c>
      <c r="F830" s="1" t="s">
        <v>396</v>
      </c>
      <c r="G830" s="1" t="s">
        <v>2411</v>
      </c>
      <c r="H830" s="1" t="s">
        <v>469</v>
      </c>
      <c r="I830" s="1" t="s">
        <v>2220</v>
      </c>
      <c r="J830" s="1" t="s">
        <v>2815</v>
      </c>
      <c r="K830" s="3">
        <v>142</v>
      </c>
      <c r="L830" s="4">
        <v>129</v>
      </c>
      <c r="M830" s="4">
        <f t="shared" si="14"/>
        <v>18318</v>
      </c>
    </row>
    <row r="831" spans="1:13" ht="15.75" customHeight="1">
      <c r="A831" s="1" t="s">
        <v>470</v>
      </c>
      <c r="B831" s="1" t="str">
        <f>"196601084867"</f>
        <v>196601084867</v>
      </c>
      <c r="C831" s="9" t="s">
        <v>471</v>
      </c>
      <c r="D831" s="2" t="s">
        <v>468</v>
      </c>
      <c r="E831" s="1" t="s">
        <v>370</v>
      </c>
      <c r="F831" s="1" t="s">
        <v>396</v>
      </c>
      <c r="G831" s="1" t="s">
        <v>2219</v>
      </c>
      <c r="H831" s="1" t="s">
        <v>469</v>
      </c>
      <c r="I831" s="1" t="s">
        <v>2220</v>
      </c>
      <c r="J831" s="1" t="s">
        <v>2815</v>
      </c>
      <c r="K831" s="3">
        <v>127</v>
      </c>
      <c r="L831" s="4">
        <v>129</v>
      </c>
      <c r="M831" s="4">
        <f t="shared" si="14"/>
        <v>16383</v>
      </c>
    </row>
    <row r="832" spans="1:13" ht="15.75" customHeight="1">
      <c r="A832" s="1" t="s">
        <v>472</v>
      </c>
      <c r="B832" s="1" t="str">
        <f>"192636654365"</f>
        <v>192636654365</v>
      </c>
      <c r="C832" s="9" t="s">
        <v>473</v>
      </c>
      <c r="D832" s="2" t="s">
        <v>474</v>
      </c>
      <c r="E832" s="1" t="s">
        <v>370</v>
      </c>
      <c r="F832" s="1" t="s">
        <v>2210</v>
      </c>
      <c r="G832" s="1" t="s">
        <v>2219</v>
      </c>
      <c r="H832" s="1" t="s">
        <v>475</v>
      </c>
      <c r="I832" s="1" t="s">
        <v>2220</v>
      </c>
      <c r="J832" s="1" t="s">
        <v>2235</v>
      </c>
      <c r="K832" s="3">
        <v>1</v>
      </c>
      <c r="L832" s="4">
        <v>69</v>
      </c>
      <c r="M832" s="4">
        <f t="shared" si="14"/>
        <v>69</v>
      </c>
    </row>
    <row r="833" spans="1:13" ht="15.75" customHeight="1">
      <c r="A833" s="1" t="s">
        <v>476</v>
      </c>
      <c r="B833" s="1" t="str">
        <f>"196601890086"</f>
        <v>196601890086</v>
      </c>
      <c r="C833" s="9" t="s">
        <v>477</v>
      </c>
      <c r="D833" s="2" t="s">
        <v>478</v>
      </c>
      <c r="E833" s="1" t="s">
        <v>370</v>
      </c>
      <c r="F833" s="1" t="s">
        <v>2210</v>
      </c>
      <c r="G833" s="1" t="s">
        <v>2411</v>
      </c>
      <c r="H833" s="1" t="s">
        <v>479</v>
      </c>
      <c r="I833" s="1" t="s">
        <v>2220</v>
      </c>
      <c r="J833" s="1" t="s">
        <v>2815</v>
      </c>
      <c r="K833" s="3">
        <v>1</v>
      </c>
      <c r="L833" s="4">
        <v>169</v>
      </c>
      <c r="M833" s="4">
        <f t="shared" si="14"/>
        <v>169</v>
      </c>
    </row>
    <row r="834" spans="1:13" ht="15.75" customHeight="1">
      <c r="A834" s="1" t="s">
        <v>480</v>
      </c>
      <c r="B834" s="1" t="str">
        <f>"196601890093"</f>
        <v>196601890093</v>
      </c>
      <c r="C834" s="9" t="s">
        <v>481</v>
      </c>
      <c r="D834" s="2" t="s">
        <v>478</v>
      </c>
      <c r="E834" s="1" t="s">
        <v>370</v>
      </c>
      <c r="F834" s="1" t="s">
        <v>2210</v>
      </c>
      <c r="G834" s="1" t="s">
        <v>2219</v>
      </c>
      <c r="H834" s="1" t="s">
        <v>479</v>
      </c>
      <c r="I834" s="1" t="s">
        <v>2220</v>
      </c>
      <c r="J834" s="1" t="s">
        <v>2815</v>
      </c>
      <c r="K834" s="3">
        <v>70</v>
      </c>
      <c r="L834" s="4">
        <v>169</v>
      </c>
      <c r="M834" s="4">
        <f t="shared" ref="M834:M897" si="15">L834*K834</f>
        <v>11830</v>
      </c>
    </row>
    <row r="835" spans="1:13" ht="15.75" customHeight="1">
      <c r="A835" s="1" t="s">
        <v>482</v>
      </c>
      <c r="B835" s="1" t="str">
        <f>"196601890130"</f>
        <v>196601890130</v>
      </c>
      <c r="C835" s="9" t="s">
        <v>483</v>
      </c>
      <c r="D835" s="2"/>
      <c r="E835" s="1" t="s">
        <v>370</v>
      </c>
      <c r="F835" s="1" t="s">
        <v>396</v>
      </c>
      <c r="G835" s="1" t="s">
        <v>2219</v>
      </c>
      <c r="H835" s="1" t="s">
        <v>484</v>
      </c>
      <c r="I835" s="1" t="s">
        <v>2220</v>
      </c>
      <c r="J835" s="1" t="s">
        <v>2815</v>
      </c>
      <c r="K835" s="3">
        <v>1</v>
      </c>
      <c r="L835" s="4">
        <v>169</v>
      </c>
      <c r="M835" s="4">
        <f t="shared" si="15"/>
        <v>169</v>
      </c>
    </row>
    <row r="836" spans="1:13" ht="15.75" customHeight="1">
      <c r="A836" s="1" t="s">
        <v>485</v>
      </c>
      <c r="B836" s="1" t="str">
        <f>"196601907104"</f>
        <v>196601907104</v>
      </c>
      <c r="C836" s="9" t="s">
        <v>486</v>
      </c>
      <c r="D836" s="2" t="s">
        <v>487</v>
      </c>
      <c r="E836" s="1" t="s">
        <v>370</v>
      </c>
      <c r="F836" s="1" t="s">
        <v>2210</v>
      </c>
      <c r="G836" s="1" t="s">
        <v>2411</v>
      </c>
      <c r="H836" s="1" t="s">
        <v>488</v>
      </c>
      <c r="I836" s="1" t="s">
        <v>2220</v>
      </c>
      <c r="J836" s="1" t="s">
        <v>2432</v>
      </c>
      <c r="K836" s="3">
        <v>161</v>
      </c>
      <c r="L836" s="4">
        <v>129</v>
      </c>
      <c r="M836" s="4">
        <f t="shared" si="15"/>
        <v>20769</v>
      </c>
    </row>
    <row r="837" spans="1:13" ht="15.75" customHeight="1">
      <c r="A837" s="1" t="s">
        <v>489</v>
      </c>
      <c r="B837" s="1" t="str">
        <f>"196601907111"</f>
        <v>196601907111</v>
      </c>
      <c r="C837" s="9" t="s">
        <v>490</v>
      </c>
      <c r="D837" s="2" t="s">
        <v>487</v>
      </c>
      <c r="E837" s="1" t="s">
        <v>370</v>
      </c>
      <c r="F837" s="1" t="s">
        <v>2210</v>
      </c>
      <c r="G837" s="1" t="s">
        <v>2219</v>
      </c>
      <c r="H837" s="1" t="s">
        <v>488</v>
      </c>
      <c r="I837" s="1" t="s">
        <v>2220</v>
      </c>
      <c r="J837" s="1" t="s">
        <v>2432</v>
      </c>
      <c r="K837" s="3">
        <v>122</v>
      </c>
      <c r="L837" s="4">
        <v>129</v>
      </c>
      <c r="M837" s="4">
        <f t="shared" si="15"/>
        <v>15738</v>
      </c>
    </row>
    <row r="838" spans="1:13" ht="15.75" customHeight="1">
      <c r="A838" s="1" t="s">
        <v>491</v>
      </c>
      <c r="B838" s="1" t="str">
        <f>"196601907142"</f>
        <v>196601907142</v>
      </c>
      <c r="C838" s="9" t="s">
        <v>492</v>
      </c>
      <c r="D838" s="2" t="s">
        <v>493</v>
      </c>
      <c r="E838" s="1" t="s">
        <v>370</v>
      </c>
      <c r="F838" s="1" t="s">
        <v>494</v>
      </c>
      <c r="G838" s="1" t="s">
        <v>2411</v>
      </c>
      <c r="H838" s="1" t="s">
        <v>495</v>
      </c>
      <c r="I838" s="1" t="s">
        <v>2220</v>
      </c>
      <c r="J838" s="1" t="s">
        <v>2432</v>
      </c>
      <c r="K838" s="3">
        <v>191</v>
      </c>
      <c r="L838" s="4">
        <v>129</v>
      </c>
      <c r="M838" s="4">
        <f t="shared" si="15"/>
        <v>24639</v>
      </c>
    </row>
    <row r="839" spans="1:13" ht="15.75" customHeight="1">
      <c r="A839" s="1" t="s">
        <v>496</v>
      </c>
      <c r="B839" s="1" t="str">
        <f>"196601907159"</f>
        <v>196601907159</v>
      </c>
      <c r="C839" s="9" t="s">
        <v>497</v>
      </c>
      <c r="D839" s="2" t="s">
        <v>493</v>
      </c>
      <c r="E839" s="1" t="s">
        <v>370</v>
      </c>
      <c r="F839" s="1" t="s">
        <v>494</v>
      </c>
      <c r="G839" s="1" t="s">
        <v>2219</v>
      </c>
      <c r="H839" s="1" t="s">
        <v>495</v>
      </c>
      <c r="I839" s="1" t="s">
        <v>2220</v>
      </c>
      <c r="J839" s="1" t="s">
        <v>2432</v>
      </c>
      <c r="K839" s="3">
        <v>136</v>
      </c>
      <c r="L839" s="4">
        <v>129</v>
      </c>
      <c r="M839" s="4">
        <f t="shared" si="15"/>
        <v>17544</v>
      </c>
    </row>
    <row r="840" spans="1:13" ht="15.75" customHeight="1">
      <c r="A840" s="1" t="s">
        <v>498</v>
      </c>
      <c r="B840" s="1" t="str">
        <f>"196601906640"</f>
        <v>196601906640</v>
      </c>
      <c r="C840" s="9" t="s">
        <v>499</v>
      </c>
      <c r="D840" s="2"/>
      <c r="E840" s="1" t="s">
        <v>370</v>
      </c>
      <c r="F840" s="1" t="s">
        <v>2813</v>
      </c>
      <c r="G840" s="1" t="s">
        <v>2411</v>
      </c>
      <c r="H840" s="1" t="s">
        <v>500</v>
      </c>
      <c r="I840" s="1" t="s">
        <v>2220</v>
      </c>
      <c r="J840" s="1" t="s">
        <v>2235</v>
      </c>
      <c r="K840" s="3">
        <v>4</v>
      </c>
      <c r="L840" s="4">
        <v>129</v>
      </c>
      <c r="M840" s="4">
        <f t="shared" si="15"/>
        <v>516</v>
      </c>
    </row>
    <row r="841" spans="1:13" ht="15.75" customHeight="1">
      <c r="A841" s="1" t="s">
        <v>501</v>
      </c>
      <c r="B841" s="1" t="str">
        <f>"196601906657"</f>
        <v>196601906657</v>
      </c>
      <c r="C841" s="9" t="s">
        <v>502</v>
      </c>
      <c r="D841" s="2" t="s">
        <v>503</v>
      </c>
      <c r="E841" s="1" t="s">
        <v>370</v>
      </c>
      <c r="F841" s="1" t="s">
        <v>2813</v>
      </c>
      <c r="G841" s="1" t="s">
        <v>2219</v>
      </c>
      <c r="H841" s="1" t="s">
        <v>500</v>
      </c>
      <c r="I841" s="1" t="s">
        <v>2220</v>
      </c>
      <c r="J841" s="1" t="s">
        <v>2235</v>
      </c>
      <c r="K841" s="3">
        <v>40</v>
      </c>
      <c r="L841" s="4">
        <v>129</v>
      </c>
      <c r="M841" s="4">
        <f t="shared" si="15"/>
        <v>5160</v>
      </c>
    </row>
    <row r="842" spans="1:13" ht="15.75" customHeight="1">
      <c r="A842" s="1" t="s">
        <v>504</v>
      </c>
      <c r="B842" s="1" t="str">
        <f>"196601906688"</f>
        <v>196601906688</v>
      </c>
      <c r="C842" s="9" t="s">
        <v>505</v>
      </c>
      <c r="D842" s="2" t="s">
        <v>506</v>
      </c>
      <c r="E842" s="1" t="s">
        <v>370</v>
      </c>
      <c r="F842" s="1" t="s">
        <v>507</v>
      </c>
      <c r="G842" s="1" t="s">
        <v>2411</v>
      </c>
      <c r="H842" s="1" t="s">
        <v>508</v>
      </c>
      <c r="I842" s="1" t="s">
        <v>2220</v>
      </c>
      <c r="J842" s="1" t="s">
        <v>2235</v>
      </c>
      <c r="K842" s="3">
        <v>46</v>
      </c>
      <c r="L842" s="4">
        <v>129</v>
      </c>
      <c r="M842" s="4">
        <f t="shared" si="15"/>
        <v>5934</v>
      </c>
    </row>
    <row r="843" spans="1:13" ht="15.75" customHeight="1">
      <c r="A843" s="1" t="s">
        <v>509</v>
      </c>
      <c r="B843" s="1" t="str">
        <f>"196601906695"</f>
        <v>196601906695</v>
      </c>
      <c r="C843" s="9" t="s">
        <v>510</v>
      </c>
      <c r="D843" s="2" t="s">
        <v>506</v>
      </c>
      <c r="E843" s="1" t="s">
        <v>370</v>
      </c>
      <c r="F843" s="1" t="s">
        <v>507</v>
      </c>
      <c r="G843" s="1" t="s">
        <v>2219</v>
      </c>
      <c r="H843" s="1" t="s">
        <v>508</v>
      </c>
      <c r="I843" s="1" t="s">
        <v>2220</v>
      </c>
      <c r="J843" s="1" t="s">
        <v>2235</v>
      </c>
      <c r="K843" s="3">
        <v>16</v>
      </c>
      <c r="L843" s="4">
        <v>129</v>
      </c>
      <c r="M843" s="4">
        <f t="shared" si="15"/>
        <v>2064</v>
      </c>
    </row>
    <row r="844" spans="1:13" ht="15.75" customHeight="1">
      <c r="A844" s="1" t="s">
        <v>511</v>
      </c>
      <c r="B844" s="1" t="str">
        <f>"196601906763"</f>
        <v>196601906763</v>
      </c>
      <c r="C844" s="9" t="s">
        <v>512</v>
      </c>
      <c r="D844" s="2"/>
      <c r="E844" s="1" t="s">
        <v>370</v>
      </c>
      <c r="F844" s="1" t="s">
        <v>513</v>
      </c>
      <c r="G844" s="1" t="s">
        <v>2411</v>
      </c>
      <c r="H844" s="1" t="s">
        <v>514</v>
      </c>
      <c r="I844" s="1" t="s">
        <v>2220</v>
      </c>
      <c r="J844" s="1" t="s">
        <v>2235</v>
      </c>
      <c r="K844" s="3">
        <v>1</v>
      </c>
      <c r="L844" s="4">
        <v>129</v>
      </c>
      <c r="M844" s="4">
        <f t="shared" si="15"/>
        <v>129</v>
      </c>
    </row>
    <row r="845" spans="1:13" ht="15.75" customHeight="1">
      <c r="A845" s="1" t="s">
        <v>515</v>
      </c>
      <c r="B845" s="1" t="str">
        <f>"192636648241"</f>
        <v>192636648241</v>
      </c>
      <c r="C845" s="9" t="s">
        <v>516</v>
      </c>
      <c r="D845" s="2" t="s">
        <v>517</v>
      </c>
      <c r="E845" s="1" t="s">
        <v>370</v>
      </c>
      <c r="F845" s="1" t="s">
        <v>2210</v>
      </c>
      <c r="G845" s="1" t="s">
        <v>2411</v>
      </c>
      <c r="H845" s="1" t="s">
        <v>518</v>
      </c>
      <c r="I845" s="1" t="s">
        <v>2220</v>
      </c>
      <c r="J845" s="1" t="s">
        <v>2432</v>
      </c>
      <c r="K845" s="3">
        <v>2</v>
      </c>
      <c r="L845" s="4">
        <v>79</v>
      </c>
      <c r="M845" s="4">
        <f t="shared" si="15"/>
        <v>158</v>
      </c>
    </row>
    <row r="846" spans="1:13" ht="15.75" customHeight="1">
      <c r="A846" s="1" t="s">
        <v>519</v>
      </c>
      <c r="B846" s="1" t="str">
        <f>"192636648234"</f>
        <v>192636648234</v>
      </c>
      <c r="C846" s="9" t="s">
        <v>520</v>
      </c>
      <c r="D846" s="2" t="s">
        <v>517</v>
      </c>
      <c r="E846" s="1" t="s">
        <v>370</v>
      </c>
      <c r="F846" s="1" t="s">
        <v>2210</v>
      </c>
      <c r="G846" s="1" t="s">
        <v>2219</v>
      </c>
      <c r="H846" s="1" t="s">
        <v>518</v>
      </c>
      <c r="I846" s="1" t="s">
        <v>2220</v>
      </c>
      <c r="J846" s="1" t="s">
        <v>2432</v>
      </c>
      <c r="K846" s="3">
        <v>8</v>
      </c>
      <c r="L846" s="4">
        <v>79</v>
      </c>
      <c r="M846" s="4">
        <f t="shared" si="15"/>
        <v>632</v>
      </c>
    </row>
    <row r="847" spans="1:13" ht="15.75" customHeight="1">
      <c r="A847" s="1" t="s">
        <v>521</v>
      </c>
      <c r="B847" s="1" t="str">
        <f>"192636645837"</f>
        <v>192636645837</v>
      </c>
      <c r="C847" s="9" t="s">
        <v>522</v>
      </c>
      <c r="D847" s="2" t="s">
        <v>523</v>
      </c>
      <c r="E847" s="1" t="s">
        <v>370</v>
      </c>
      <c r="F847" s="1" t="s">
        <v>524</v>
      </c>
      <c r="G847" s="1" t="s">
        <v>2219</v>
      </c>
      <c r="H847" s="1" t="s">
        <v>518</v>
      </c>
      <c r="I847" s="1" t="s">
        <v>2220</v>
      </c>
      <c r="J847" s="1" t="s">
        <v>2432</v>
      </c>
      <c r="K847" s="3">
        <v>4</v>
      </c>
      <c r="L847" s="4">
        <v>79</v>
      </c>
      <c r="M847" s="4">
        <f t="shared" si="15"/>
        <v>316</v>
      </c>
    </row>
    <row r="848" spans="1:13" ht="15.75" customHeight="1">
      <c r="A848" s="1" t="s">
        <v>525</v>
      </c>
      <c r="B848" s="1" t="str">
        <f>"192636645882"</f>
        <v>192636645882</v>
      </c>
      <c r="C848" s="9" t="s">
        <v>526</v>
      </c>
      <c r="D848" s="2" t="s">
        <v>527</v>
      </c>
      <c r="E848" s="1" t="s">
        <v>370</v>
      </c>
      <c r="F848" s="1" t="s">
        <v>2272</v>
      </c>
      <c r="G848" s="1" t="s">
        <v>2219</v>
      </c>
      <c r="H848" s="1" t="s">
        <v>518</v>
      </c>
      <c r="I848" s="1" t="s">
        <v>2220</v>
      </c>
      <c r="J848" s="1" t="s">
        <v>2432</v>
      </c>
      <c r="K848" s="3">
        <v>3</v>
      </c>
      <c r="L848" s="4">
        <v>79</v>
      </c>
      <c r="M848" s="4">
        <f t="shared" si="15"/>
        <v>237</v>
      </c>
    </row>
    <row r="849" spans="1:13" ht="15.75" customHeight="1">
      <c r="A849" s="1" t="s">
        <v>528</v>
      </c>
      <c r="B849" s="1" t="str">
        <f>"192636648289"</f>
        <v>192636648289</v>
      </c>
      <c r="C849" s="9" t="s">
        <v>529</v>
      </c>
      <c r="D849" s="2" t="s">
        <v>530</v>
      </c>
      <c r="E849" s="1" t="s">
        <v>370</v>
      </c>
      <c r="F849" s="1" t="s">
        <v>2083</v>
      </c>
      <c r="G849" s="1" t="s">
        <v>2219</v>
      </c>
      <c r="H849" s="1" t="s">
        <v>518</v>
      </c>
      <c r="I849" s="1" t="s">
        <v>2220</v>
      </c>
      <c r="J849" s="1" t="s">
        <v>2432</v>
      </c>
      <c r="K849" s="3">
        <v>6</v>
      </c>
      <c r="L849" s="4">
        <v>79</v>
      </c>
      <c r="M849" s="4">
        <f t="shared" si="15"/>
        <v>474</v>
      </c>
    </row>
    <row r="850" spans="1:13" ht="15.75" customHeight="1">
      <c r="A850" s="1" t="s">
        <v>531</v>
      </c>
      <c r="B850" s="1" t="str">
        <f>"196601083211"</f>
        <v>196601083211</v>
      </c>
      <c r="C850" s="9" t="s">
        <v>532</v>
      </c>
      <c r="D850" s="2" t="s">
        <v>533</v>
      </c>
      <c r="E850" s="1" t="s">
        <v>370</v>
      </c>
      <c r="F850" s="1" t="s">
        <v>2813</v>
      </c>
      <c r="G850" s="1" t="s">
        <v>2411</v>
      </c>
      <c r="H850" s="1" t="s">
        <v>534</v>
      </c>
      <c r="I850" s="1" t="s">
        <v>2220</v>
      </c>
      <c r="J850" s="1" t="s">
        <v>2815</v>
      </c>
      <c r="K850" s="3">
        <v>148</v>
      </c>
      <c r="L850" s="4">
        <v>99</v>
      </c>
      <c r="M850" s="4">
        <f t="shared" si="15"/>
        <v>14652</v>
      </c>
    </row>
    <row r="851" spans="1:13" ht="15.75" customHeight="1">
      <c r="A851" s="1" t="s">
        <v>535</v>
      </c>
      <c r="B851" s="1" t="str">
        <f>"196601083228"</f>
        <v>196601083228</v>
      </c>
      <c r="C851" s="9" t="s">
        <v>536</v>
      </c>
      <c r="D851" s="2" t="s">
        <v>533</v>
      </c>
      <c r="E851" s="1" t="s">
        <v>370</v>
      </c>
      <c r="F851" s="1" t="s">
        <v>2813</v>
      </c>
      <c r="G851" s="1" t="s">
        <v>2219</v>
      </c>
      <c r="H851" s="1" t="s">
        <v>534</v>
      </c>
      <c r="I851" s="1" t="s">
        <v>2220</v>
      </c>
      <c r="J851" s="1" t="s">
        <v>2815</v>
      </c>
      <c r="K851" s="3">
        <v>78</v>
      </c>
      <c r="L851" s="4">
        <v>99</v>
      </c>
      <c r="M851" s="4">
        <f t="shared" si="15"/>
        <v>7722</v>
      </c>
    </row>
    <row r="852" spans="1:13" ht="15.75" customHeight="1">
      <c r="A852" s="1" t="s">
        <v>537</v>
      </c>
      <c r="B852" s="1" t="str">
        <f>"196601890505"</f>
        <v>196601890505</v>
      </c>
      <c r="C852" s="9" t="s">
        <v>538</v>
      </c>
      <c r="D852" s="2" t="s">
        <v>539</v>
      </c>
      <c r="E852" s="1" t="s">
        <v>370</v>
      </c>
      <c r="F852" s="1" t="s">
        <v>540</v>
      </c>
      <c r="G852" s="1" t="s">
        <v>2211</v>
      </c>
      <c r="H852" s="1" t="s">
        <v>541</v>
      </c>
      <c r="I852" s="1" t="s">
        <v>2220</v>
      </c>
      <c r="J852" s="1" t="s">
        <v>2815</v>
      </c>
      <c r="K852" s="3">
        <v>1</v>
      </c>
      <c r="L852" s="4">
        <v>149</v>
      </c>
      <c r="M852" s="4">
        <f t="shared" si="15"/>
        <v>149</v>
      </c>
    </row>
    <row r="853" spans="1:13" ht="15.75" customHeight="1">
      <c r="A853" s="1" t="s">
        <v>542</v>
      </c>
      <c r="B853" s="1" t="str">
        <f>"196601890512"</f>
        <v>196601890512</v>
      </c>
      <c r="C853" s="9" t="s">
        <v>543</v>
      </c>
      <c r="D853" s="2" t="s">
        <v>539</v>
      </c>
      <c r="E853" s="1" t="s">
        <v>370</v>
      </c>
      <c r="F853" s="1" t="s">
        <v>540</v>
      </c>
      <c r="G853" s="1" t="s">
        <v>2411</v>
      </c>
      <c r="H853" s="1" t="s">
        <v>541</v>
      </c>
      <c r="I853" s="1" t="s">
        <v>2220</v>
      </c>
      <c r="J853" s="1" t="s">
        <v>2815</v>
      </c>
      <c r="K853" s="3">
        <v>55</v>
      </c>
      <c r="L853" s="4">
        <v>149</v>
      </c>
      <c r="M853" s="4">
        <f t="shared" si="15"/>
        <v>8195</v>
      </c>
    </row>
    <row r="854" spans="1:13" ht="15.75" customHeight="1">
      <c r="A854" s="1" t="s">
        <v>544</v>
      </c>
      <c r="B854" s="1" t="str">
        <f>"196601890529"</f>
        <v>196601890529</v>
      </c>
      <c r="C854" s="9" t="s">
        <v>545</v>
      </c>
      <c r="D854" s="2" t="s">
        <v>539</v>
      </c>
      <c r="E854" s="1" t="s">
        <v>370</v>
      </c>
      <c r="F854" s="1" t="s">
        <v>540</v>
      </c>
      <c r="G854" s="1" t="s">
        <v>2219</v>
      </c>
      <c r="H854" s="1" t="s">
        <v>541</v>
      </c>
      <c r="I854" s="1" t="s">
        <v>2220</v>
      </c>
      <c r="J854" s="1" t="s">
        <v>2815</v>
      </c>
      <c r="K854" s="3">
        <v>34</v>
      </c>
      <c r="L854" s="4">
        <v>149</v>
      </c>
      <c r="M854" s="4">
        <f t="shared" si="15"/>
        <v>5066</v>
      </c>
    </row>
    <row r="855" spans="1:13" ht="15.75" customHeight="1">
      <c r="A855" s="1" t="s">
        <v>546</v>
      </c>
      <c r="B855" s="1" t="str">
        <f>"196601890550"</f>
        <v>196601890550</v>
      </c>
      <c r="C855" s="9" t="s">
        <v>547</v>
      </c>
      <c r="D855" s="2" t="s">
        <v>548</v>
      </c>
      <c r="E855" s="1" t="s">
        <v>370</v>
      </c>
      <c r="F855" s="1" t="s">
        <v>549</v>
      </c>
      <c r="G855" s="1" t="s">
        <v>2411</v>
      </c>
      <c r="H855" s="1" t="s">
        <v>550</v>
      </c>
      <c r="I855" s="1" t="s">
        <v>2220</v>
      </c>
      <c r="J855" s="1" t="s">
        <v>2815</v>
      </c>
      <c r="K855" s="3">
        <v>162</v>
      </c>
      <c r="L855" s="4">
        <v>149</v>
      </c>
      <c r="M855" s="4">
        <f t="shared" si="15"/>
        <v>24138</v>
      </c>
    </row>
    <row r="856" spans="1:13" ht="15.75" customHeight="1">
      <c r="A856" s="1" t="s">
        <v>551</v>
      </c>
      <c r="B856" s="1" t="str">
        <f>"196601890567"</f>
        <v>196601890567</v>
      </c>
      <c r="C856" s="9" t="s">
        <v>552</v>
      </c>
      <c r="D856" s="2" t="s">
        <v>548</v>
      </c>
      <c r="E856" s="1" t="s">
        <v>370</v>
      </c>
      <c r="F856" s="1" t="s">
        <v>549</v>
      </c>
      <c r="G856" s="1" t="s">
        <v>2219</v>
      </c>
      <c r="H856" s="1" t="s">
        <v>550</v>
      </c>
      <c r="I856" s="1" t="s">
        <v>2220</v>
      </c>
      <c r="J856" s="1" t="s">
        <v>2815</v>
      </c>
      <c r="K856" s="3">
        <v>79</v>
      </c>
      <c r="L856" s="4">
        <v>149</v>
      </c>
      <c r="M856" s="4">
        <f t="shared" si="15"/>
        <v>11771</v>
      </c>
    </row>
    <row r="857" spans="1:13" ht="15.75" customHeight="1">
      <c r="A857" s="1" t="s">
        <v>553</v>
      </c>
      <c r="B857" s="1" t="str">
        <f>"196601912009"</f>
        <v>196601912009</v>
      </c>
      <c r="C857" s="9" t="s">
        <v>554</v>
      </c>
      <c r="D857" s="2" t="s">
        <v>555</v>
      </c>
      <c r="E857" s="1" t="s">
        <v>370</v>
      </c>
      <c r="F857" s="1" t="s">
        <v>2210</v>
      </c>
      <c r="G857" s="1" t="s">
        <v>2411</v>
      </c>
      <c r="H857" s="1" t="s">
        <v>556</v>
      </c>
      <c r="I857" s="1" t="s">
        <v>2220</v>
      </c>
      <c r="J857" s="1" t="s">
        <v>2235</v>
      </c>
      <c r="K857" s="3">
        <v>195</v>
      </c>
      <c r="L857" s="4">
        <v>129</v>
      </c>
      <c r="M857" s="4">
        <f t="shared" si="15"/>
        <v>25155</v>
      </c>
    </row>
    <row r="858" spans="1:13" ht="15.75" customHeight="1">
      <c r="A858" s="1" t="s">
        <v>557</v>
      </c>
      <c r="B858" s="1" t="str">
        <f>"196601912016"</f>
        <v>196601912016</v>
      </c>
      <c r="C858" s="9" t="s">
        <v>558</v>
      </c>
      <c r="D858" s="2" t="s">
        <v>555</v>
      </c>
      <c r="E858" s="1" t="s">
        <v>370</v>
      </c>
      <c r="F858" s="1" t="s">
        <v>2210</v>
      </c>
      <c r="G858" s="1" t="s">
        <v>2219</v>
      </c>
      <c r="H858" s="1" t="s">
        <v>556</v>
      </c>
      <c r="I858" s="1" t="s">
        <v>2220</v>
      </c>
      <c r="J858" s="1" t="s">
        <v>2235</v>
      </c>
      <c r="K858" s="3">
        <v>164</v>
      </c>
      <c r="L858" s="4">
        <v>129</v>
      </c>
      <c r="M858" s="4">
        <f t="shared" si="15"/>
        <v>21156</v>
      </c>
    </row>
    <row r="859" spans="1:13" ht="15.75" customHeight="1">
      <c r="A859" s="1" t="s">
        <v>559</v>
      </c>
      <c r="B859" s="1" t="str">
        <f>"196601912498"</f>
        <v>196601912498</v>
      </c>
      <c r="C859" s="9" t="s">
        <v>560</v>
      </c>
      <c r="D859" s="2" t="s">
        <v>561</v>
      </c>
      <c r="E859" s="1" t="s">
        <v>370</v>
      </c>
      <c r="F859" s="1" t="s">
        <v>1016</v>
      </c>
      <c r="G859" s="1" t="s">
        <v>2211</v>
      </c>
      <c r="H859" s="1" t="s">
        <v>562</v>
      </c>
      <c r="I859" s="1" t="s">
        <v>2220</v>
      </c>
      <c r="J859" s="1" t="s">
        <v>2235</v>
      </c>
      <c r="K859" s="3">
        <v>1</v>
      </c>
      <c r="L859" s="4">
        <v>129</v>
      </c>
      <c r="M859" s="4">
        <f t="shared" si="15"/>
        <v>129</v>
      </c>
    </row>
    <row r="860" spans="1:13" ht="15.75" customHeight="1">
      <c r="A860" s="1" t="s">
        <v>563</v>
      </c>
      <c r="B860" s="1" t="str">
        <f>"196601912504"</f>
        <v>196601912504</v>
      </c>
      <c r="C860" s="9" t="s">
        <v>564</v>
      </c>
      <c r="D860" s="2" t="s">
        <v>561</v>
      </c>
      <c r="E860" s="1" t="s">
        <v>370</v>
      </c>
      <c r="F860" s="1" t="s">
        <v>1016</v>
      </c>
      <c r="G860" s="1" t="s">
        <v>2411</v>
      </c>
      <c r="H860" s="1" t="s">
        <v>562</v>
      </c>
      <c r="I860" s="1" t="s">
        <v>2220</v>
      </c>
      <c r="J860" s="1" t="s">
        <v>2235</v>
      </c>
      <c r="K860" s="3">
        <v>26</v>
      </c>
      <c r="L860" s="4">
        <v>129</v>
      </c>
      <c r="M860" s="4">
        <f t="shared" si="15"/>
        <v>3354</v>
      </c>
    </row>
    <row r="861" spans="1:13" ht="15.75" customHeight="1">
      <c r="A861" s="1" t="s">
        <v>565</v>
      </c>
      <c r="B861" s="1" t="str">
        <f>"196601912511"</f>
        <v>196601912511</v>
      </c>
      <c r="C861" s="9" t="s">
        <v>566</v>
      </c>
      <c r="D861" s="2" t="s">
        <v>561</v>
      </c>
      <c r="E861" s="1" t="s">
        <v>370</v>
      </c>
      <c r="F861" s="1" t="s">
        <v>1016</v>
      </c>
      <c r="G861" s="1" t="s">
        <v>2219</v>
      </c>
      <c r="H861" s="1" t="s">
        <v>562</v>
      </c>
      <c r="I861" s="1" t="s">
        <v>2220</v>
      </c>
      <c r="J861" s="1" t="s">
        <v>2235</v>
      </c>
      <c r="K861" s="3">
        <v>82</v>
      </c>
      <c r="L861" s="4">
        <v>129</v>
      </c>
      <c r="M861" s="4">
        <f t="shared" si="15"/>
        <v>10578</v>
      </c>
    </row>
    <row r="862" spans="1:13" ht="15.75" customHeight="1">
      <c r="A862" s="1" t="s">
        <v>567</v>
      </c>
      <c r="B862" s="1" t="str">
        <f>"196601912771"</f>
        <v>196601912771</v>
      </c>
      <c r="C862" s="9" t="s">
        <v>568</v>
      </c>
      <c r="D862" s="2" t="s">
        <v>569</v>
      </c>
      <c r="E862" s="1" t="s">
        <v>370</v>
      </c>
      <c r="F862" s="1" t="s">
        <v>513</v>
      </c>
      <c r="G862" s="1" t="s">
        <v>2219</v>
      </c>
      <c r="H862" s="1" t="s">
        <v>570</v>
      </c>
      <c r="I862" s="1" t="s">
        <v>2220</v>
      </c>
      <c r="J862" s="1" t="s">
        <v>2235</v>
      </c>
      <c r="K862" s="3">
        <v>3</v>
      </c>
      <c r="L862" s="4">
        <v>129</v>
      </c>
      <c r="M862" s="4">
        <f t="shared" si="15"/>
        <v>387</v>
      </c>
    </row>
    <row r="863" spans="1:13" ht="15.75" customHeight="1">
      <c r="A863" s="1" t="s">
        <v>571</v>
      </c>
      <c r="B863" s="1" t="str">
        <f>"196601889851"</f>
        <v>196601889851</v>
      </c>
      <c r="C863" s="9" t="s">
        <v>572</v>
      </c>
      <c r="D863" s="2" t="s">
        <v>573</v>
      </c>
      <c r="E863" s="1" t="s">
        <v>370</v>
      </c>
      <c r="F863" s="1" t="s">
        <v>385</v>
      </c>
      <c r="G863" s="1" t="s">
        <v>2219</v>
      </c>
      <c r="H863" s="1" t="s">
        <v>574</v>
      </c>
      <c r="I863" s="1" t="s">
        <v>2220</v>
      </c>
      <c r="J863" s="1" t="s">
        <v>2815</v>
      </c>
      <c r="K863" s="3">
        <v>1</v>
      </c>
      <c r="L863" s="4">
        <v>199</v>
      </c>
      <c r="M863" s="4">
        <f t="shared" si="15"/>
        <v>199</v>
      </c>
    </row>
    <row r="864" spans="1:13" ht="15.75" customHeight="1">
      <c r="A864" s="1" t="s">
        <v>575</v>
      </c>
      <c r="B864" s="1" t="str">
        <f>"196601888991"</f>
        <v>196601888991</v>
      </c>
      <c r="C864" s="9" t="s">
        <v>576</v>
      </c>
      <c r="D864" s="2" t="s">
        <v>577</v>
      </c>
      <c r="E864" s="1" t="s">
        <v>370</v>
      </c>
      <c r="F864" s="1" t="s">
        <v>578</v>
      </c>
      <c r="G864" s="1" t="s">
        <v>2219</v>
      </c>
      <c r="H864" s="1" t="s">
        <v>579</v>
      </c>
      <c r="I864" s="1" t="s">
        <v>2220</v>
      </c>
      <c r="J864" s="1" t="s">
        <v>2815</v>
      </c>
      <c r="K864" s="3">
        <v>112</v>
      </c>
      <c r="L864" s="4">
        <v>149</v>
      </c>
      <c r="M864" s="4">
        <f t="shared" si="15"/>
        <v>16688</v>
      </c>
    </row>
    <row r="865" spans="1:13" ht="15.75" customHeight="1">
      <c r="A865" s="1" t="s">
        <v>580</v>
      </c>
      <c r="B865" s="1" t="str">
        <f>"196601889165"</f>
        <v>196601889165</v>
      </c>
      <c r="C865" s="9" t="s">
        <v>581</v>
      </c>
      <c r="D865" s="2" t="s">
        <v>582</v>
      </c>
      <c r="E865" s="1" t="s">
        <v>370</v>
      </c>
      <c r="F865" s="1" t="s">
        <v>385</v>
      </c>
      <c r="G865" s="1" t="s">
        <v>2411</v>
      </c>
      <c r="H865" s="1" t="s">
        <v>583</v>
      </c>
      <c r="I865" s="1" t="s">
        <v>2220</v>
      </c>
      <c r="J865" s="1" t="s">
        <v>2815</v>
      </c>
      <c r="K865" s="3">
        <v>13</v>
      </c>
      <c r="L865" s="4">
        <v>149</v>
      </c>
      <c r="M865" s="4">
        <f t="shared" si="15"/>
        <v>1937</v>
      </c>
    </row>
    <row r="866" spans="1:13" ht="15.75" customHeight="1">
      <c r="A866" s="1" t="s">
        <v>584</v>
      </c>
      <c r="B866" s="1" t="str">
        <f>"196601889172"</f>
        <v>196601889172</v>
      </c>
      <c r="C866" s="9" t="s">
        <v>585</v>
      </c>
      <c r="D866" s="2" t="s">
        <v>582</v>
      </c>
      <c r="E866" s="1" t="s">
        <v>370</v>
      </c>
      <c r="F866" s="1" t="s">
        <v>385</v>
      </c>
      <c r="G866" s="1" t="s">
        <v>2219</v>
      </c>
      <c r="H866" s="1" t="s">
        <v>583</v>
      </c>
      <c r="I866" s="1" t="s">
        <v>2220</v>
      </c>
      <c r="J866" s="1" t="s">
        <v>2815</v>
      </c>
      <c r="K866" s="3">
        <v>44</v>
      </c>
      <c r="L866" s="4">
        <v>149</v>
      </c>
      <c r="M866" s="4">
        <f t="shared" si="15"/>
        <v>6556</v>
      </c>
    </row>
    <row r="867" spans="1:13" ht="15.75" customHeight="1">
      <c r="A867" s="1" t="s">
        <v>586</v>
      </c>
      <c r="B867" s="1" t="str">
        <f>"196601889974"</f>
        <v>196601889974</v>
      </c>
      <c r="C867" s="9" t="s">
        <v>587</v>
      </c>
      <c r="D867" s="2" t="s">
        <v>588</v>
      </c>
      <c r="E867" s="1" t="s">
        <v>370</v>
      </c>
      <c r="F867" s="1" t="s">
        <v>2210</v>
      </c>
      <c r="G867" s="1" t="s">
        <v>2219</v>
      </c>
      <c r="H867" s="1" t="s">
        <v>589</v>
      </c>
      <c r="I867" s="1" t="s">
        <v>2220</v>
      </c>
      <c r="J867" s="1" t="s">
        <v>590</v>
      </c>
      <c r="K867" s="3">
        <v>2</v>
      </c>
      <c r="L867" s="4">
        <v>299</v>
      </c>
      <c r="M867" s="4">
        <f t="shared" si="15"/>
        <v>598</v>
      </c>
    </row>
    <row r="868" spans="1:13" ht="15.75" customHeight="1">
      <c r="A868" s="1" t="s">
        <v>591</v>
      </c>
      <c r="B868" s="1" t="str">
        <f>"196601890000"</f>
        <v>196601890000</v>
      </c>
      <c r="C868" s="9" t="s">
        <v>592</v>
      </c>
      <c r="D868" s="2" t="s">
        <v>593</v>
      </c>
      <c r="E868" s="1" t="s">
        <v>370</v>
      </c>
      <c r="F868" s="1" t="s">
        <v>396</v>
      </c>
      <c r="G868" s="1" t="s">
        <v>2411</v>
      </c>
      <c r="H868" s="1" t="s">
        <v>594</v>
      </c>
      <c r="I868" s="1" t="s">
        <v>2220</v>
      </c>
      <c r="J868" s="1" t="s">
        <v>590</v>
      </c>
      <c r="K868" s="3">
        <v>19</v>
      </c>
      <c r="L868" s="4">
        <v>299</v>
      </c>
      <c r="M868" s="4">
        <f t="shared" si="15"/>
        <v>5681</v>
      </c>
    </row>
    <row r="869" spans="1:13" ht="15.75" customHeight="1">
      <c r="A869" s="1" t="s">
        <v>595</v>
      </c>
      <c r="B869" s="1" t="str">
        <f>"196601890017"</f>
        <v>196601890017</v>
      </c>
      <c r="C869" s="9" t="s">
        <v>596</v>
      </c>
      <c r="D869" s="2" t="s">
        <v>593</v>
      </c>
      <c r="E869" s="1" t="s">
        <v>370</v>
      </c>
      <c r="F869" s="1" t="s">
        <v>396</v>
      </c>
      <c r="G869" s="1" t="s">
        <v>2219</v>
      </c>
      <c r="H869" s="1" t="s">
        <v>594</v>
      </c>
      <c r="I869" s="1" t="s">
        <v>2220</v>
      </c>
      <c r="J869" s="1" t="s">
        <v>590</v>
      </c>
      <c r="K869" s="3">
        <v>44</v>
      </c>
      <c r="L869" s="4">
        <v>299</v>
      </c>
      <c r="M869" s="4">
        <f t="shared" si="15"/>
        <v>13156</v>
      </c>
    </row>
    <row r="870" spans="1:13" ht="15.75" customHeight="1">
      <c r="A870" s="1" t="s">
        <v>597</v>
      </c>
      <c r="B870" s="1" t="str">
        <f>"197571199773"</f>
        <v>197571199773</v>
      </c>
      <c r="C870" s="9" t="s">
        <v>598</v>
      </c>
      <c r="D870" s="2" t="s">
        <v>599</v>
      </c>
      <c r="E870" s="1" t="s">
        <v>370</v>
      </c>
      <c r="F870" s="1" t="s">
        <v>2210</v>
      </c>
      <c r="G870" s="1" t="s">
        <v>2411</v>
      </c>
      <c r="H870" s="1" t="s">
        <v>600</v>
      </c>
      <c r="I870" s="1" t="s">
        <v>2220</v>
      </c>
      <c r="J870" s="1" t="s">
        <v>1226</v>
      </c>
      <c r="K870" s="3">
        <v>158</v>
      </c>
      <c r="L870" s="4">
        <v>49.5</v>
      </c>
      <c r="M870" s="4">
        <f t="shared" si="15"/>
        <v>7821</v>
      </c>
    </row>
    <row r="871" spans="1:13" ht="15.75" customHeight="1">
      <c r="A871" s="1" t="s">
        <v>601</v>
      </c>
      <c r="B871" s="1" t="str">
        <f>"197571199780"</f>
        <v>197571199780</v>
      </c>
      <c r="C871" s="9" t="s">
        <v>602</v>
      </c>
      <c r="D871" s="2" t="s">
        <v>599</v>
      </c>
      <c r="E871" s="1" t="s">
        <v>370</v>
      </c>
      <c r="F871" s="1" t="s">
        <v>2210</v>
      </c>
      <c r="G871" s="1" t="s">
        <v>2219</v>
      </c>
      <c r="H871" s="1" t="s">
        <v>600</v>
      </c>
      <c r="I871" s="1" t="s">
        <v>2220</v>
      </c>
      <c r="J871" s="1" t="s">
        <v>1226</v>
      </c>
      <c r="K871" s="3">
        <v>160</v>
      </c>
      <c r="L871" s="4">
        <v>49.5</v>
      </c>
      <c r="M871" s="4">
        <f t="shared" si="15"/>
        <v>7920</v>
      </c>
    </row>
    <row r="872" spans="1:13" ht="15.75" customHeight="1">
      <c r="A872" s="1" t="s">
        <v>603</v>
      </c>
      <c r="B872" s="1" t="str">
        <f>"197571199810"</f>
        <v>197571199810</v>
      </c>
      <c r="C872" s="9" t="s">
        <v>604</v>
      </c>
      <c r="D872" s="2" t="s">
        <v>605</v>
      </c>
      <c r="E872" s="1" t="s">
        <v>370</v>
      </c>
      <c r="F872" s="1" t="s">
        <v>418</v>
      </c>
      <c r="G872" s="1" t="s">
        <v>2411</v>
      </c>
      <c r="H872" s="1" t="s">
        <v>606</v>
      </c>
      <c r="I872" s="1" t="s">
        <v>2220</v>
      </c>
      <c r="J872" s="1" t="s">
        <v>1226</v>
      </c>
      <c r="K872" s="3">
        <v>26</v>
      </c>
      <c r="L872" s="4">
        <v>49.5</v>
      </c>
      <c r="M872" s="4">
        <f t="shared" si="15"/>
        <v>1287</v>
      </c>
    </row>
    <row r="873" spans="1:13" ht="15.75" customHeight="1">
      <c r="A873" s="1" t="s">
        <v>607</v>
      </c>
      <c r="B873" s="1" t="str">
        <f>"197571199827"</f>
        <v>197571199827</v>
      </c>
      <c r="C873" s="9" t="s">
        <v>608</v>
      </c>
      <c r="D873" s="2" t="s">
        <v>605</v>
      </c>
      <c r="E873" s="1" t="s">
        <v>370</v>
      </c>
      <c r="F873" s="1" t="s">
        <v>418</v>
      </c>
      <c r="G873" s="1" t="s">
        <v>2219</v>
      </c>
      <c r="H873" s="1" t="s">
        <v>606</v>
      </c>
      <c r="I873" s="1" t="s">
        <v>2220</v>
      </c>
      <c r="J873" s="1" t="s">
        <v>1226</v>
      </c>
      <c r="K873" s="3">
        <v>114</v>
      </c>
      <c r="L873" s="4">
        <v>49.5</v>
      </c>
      <c r="M873" s="4">
        <f t="shared" si="15"/>
        <v>5643</v>
      </c>
    </row>
    <row r="874" spans="1:13" ht="15.75" customHeight="1">
      <c r="A874" s="1" t="s">
        <v>609</v>
      </c>
      <c r="B874" s="1" t="str">
        <f>"197571199988"</f>
        <v>197571199988</v>
      </c>
      <c r="C874" s="9" t="s">
        <v>610</v>
      </c>
      <c r="D874" s="2" t="s">
        <v>611</v>
      </c>
      <c r="E874" s="1" t="s">
        <v>370</v>
      </c>
      <c r="F874" s="1" t="s">
        <v>612</v>
      </c>
      <c r="G874" s="1" t="s">
        <v>2219</v>
      </c>
      <c r="H874" s="1" t="s">
        <v>613</v>
      </c>
      <c r="I874" s="1" t="s">
        <v>2220</v>
      </c>
      <c r="J874" s="1" t="s">
        <v>1226</v>
      </c>
      <c r="K874" s="3">
        <v>10</v>
      </c>
      <c r="L874" s="4">
        <v>49.5</v>
      </c>
      <c r="M874" s="4">
        <f t="shared" si="15"/>
        <v>495</v>
      </c>
    </row>
    <row r="875" spans="1:13" ht="15.75" customHeight="1">
      <c r="A875" s="1" t="s">
        <v>614</v>
      </c>
      <c r="B875" s="1" t="str">
        <f>"197571199933"</f>
        <v>197571199933</v>
      </c>
      <c r="C875" s="9" t="s">
        <v>615</v>
      </c>
      <c r="D875" s="2" t="s">
        <v>616</v>
      </c>
      <c r="E875" s="1" t="s">
        <v>370</v>
      </c>
      <c r="F875" s="1" t="s">
        <v>617</v>
      </c>
      <c r="G875" s="1" t="s">
        <v>2411</v>
      </c>
      <c r="H875" s="1" t="s">
        <v>618</v>
      </c>
      <c r="I875" s="1" t="s">
        <v>2220</v>
      </c>
      <c r="J875" s="1" t="s">
        <v>1226</v>
      </c>
      <c r="K875" s="3">
        <v>16</v>
      </c>
      <c r="L875" s="4">
        <v>49.5</v>
      </c>
      <c r="M875" s="4">
        <f t="shared" si="15"/>
        <v>792</v>
      </c>
    </row>
    <row r="876" spans="1:13" ht="15.75" customHeight="1">
      <c r="A876" s="1" t="s">
        <v>619</v>
      </c>
      <c r="B876" s="1" t="str">
        <f>"197571199940"</f>
        <v>197571199940</v>
      </c>
      <c r="C876" s="9" t="s">
        <v>620</v>
      </c>
      <c r="D876" s="2" t="s">
        <v>616</v>
      </c>
      <c r="E876" s="1" t="s">
        <v>370</v>
      </c>
      <c r="F876" s="1" t="s">
        <v>617</v>
      </c>
      <c r="G876" s="1" t="s">
        <v>2219</v>
      </c>
      <c r="H876" s="1" t="s">
        <v>618</v>
      </c>
      <c r="I876" s="1" t="s">
        <v>2220</v>
      </c>
      <c r="J876" s="1" t="s">
        <v>1226</v>
      </c>
      <c r="K876" s="3">
        <v>1</v>
      </c>
      <c r="L876" s="4">
        <v>49.5</v>
      </c>
      <c r="M876" s="4">
        <f t="shared" si="15"/>
        <v>49.5</v>
      </c>
    </row>
    <row r="877" spans="1:13" ht="15.75" customHeight="1">
      <c r="A877" s="1" t="s">
        <v>621</v>
      </c>
      <c r="B877" s="1" t="str">
        <f>"197571199858"</f>
        <v>197571199858</v>
      </c>
      <c r="C877" s="9" t="s">
        <v>622</v>
      </c>
      <c r="D877" s="2" t="s">
        <v>623</v>
      </c>
      <c r="E877" s="1" t="s">
        <v>370</v>
      </c>
      <c r="F877" s="1" t="s">
        <v>2516</v>
      </c>
      <c r="G877" s="1" t="s">
        <v>2411</v>
      </c>
      <c r="H877" s="1" t="s">
        <v>624</v>
      </c>
      <c r="I877" s="1" t="s">
        <v>2220</v>
      </c>
      <c r="J877" s="1" t="s">
        <v>1226</v>
      </c>
      <c r="K877" s="3">
        <v>81</v>
      </c>
      <c r="L877" s="4">
        <v>49.5</v>
      </c>
      <c r="M877" s="4">
        <f t="shared" si="15"/>
        <v>4009.5</v>
      </c>
    </row>
    <row r="878" spans="1:13" ht="15.75" customHeight="1">
      <c r="A878" s="1" t="s">
        <v>625</v>
      </c>
      <c r="B878" s="1" t="str">
        <f>"197571199865"</f>
        <v>197571199865</v>
      </c>
      <c r="C878" s="9" t="s">
        <v>626</v>
      </c>
      <c r="D878" s="2" t="s">
        <v>623</v>
      </c>
      <c r="E878" s="1" t="s">
        <v>370</v>
      </c>
      <c r="F878" s="1" t="s">
        <v>2516</v>
      </c>
      <c r="G878" s="1" t="s">
        <v>2219</v>
      </c>
      <c r="H878" s="1" t="s">
        <v>624</v>
      </c>
      <c r="I878" s="1" t="s">
        <v>2220</v>
      </c>
      <c r="J878" s="1" t="s">
        <v>1226</v>
      </c>
      <c r="K878" s="3">
        <v>146</v>
      </c>
      <c r="L878" s="4">
        <v>49.5</v>
      </c>
      <c r="M878" s="4">
        <f t="shared" si="15"/>
        <v>7227</v>
      </c>
    </row>
    <row r="879" spans="1:13" ht="15.75" customHeight="1">
      <c r="A879" s="1" t="s">
        <v>627</v>
      </c>
      <c r="B879" s="1" t="str">
        <f>"196601906817"</f>
        <v>196601906817</v>
      </c>
      <c r="C879" s="9" t="s">
        <v>628</v>
      </c>
      <c r="D879" s="2" t="s">
        <v>629</v>
      </c>
      <c r="E879" s="1" t="s">
        <v>370</v>
      </c>
      <c r="F879" s="1" t="s">
        <v>2210</v>
      </c>
      <c r="G879" s="1" t="s">
        <v>2219</v>
      </c>
      <c r="H879" s="1" t="s">
        <v>630</v>
      </c>
      <c r="I879" s="1" t="s">
        <v>2220</v>
      </c>
      <c r="J879" s="1" t="s">
        <v>2235</v>
      </c>
      <c r="K879" s="3">
        <v>16</v>
      </c>
      <c r="L879" s="4">
        <v>129</v>
      </c>
      <c r="M879" s="4">
        <f t="shared" si="15"/>
        <v>2064</v>
      </c>
    </row>
    <row r="880" spans="1:13" ht="15.75" customHeight="1">
      <c r="A880" s="1" t="s">
        <v>631</v>
      </c>
      <c r="B880" s="1" t="str">
        <f>"196601906848"</f>
        <v>196601906848</v>
      </c>
      <c r="C880" s="9" t="s">
        <v>632</v>
      </c>
      <c r="D880" s="2" t="s">
        <v>633</v>
      </c>
      <c r="E880" s="1" t="s">
        <v>370</v>
      </c>
      <c r="F880" s="1" t="s">
        <v>877</v>
      </c>
      <c r="G880" s="1" t="s">
        <v>2411</v>
      </c>
      <c r="H880" s="1" t="s">
        <v>634</v>
      </c>
      <c r="I880" s="1" t="s">
        <v>2220</v>
      </c>
      <c r="J880" s="1" t="s">
        <v>2235</v>
      </c>
      <c r="K880" s="3">
        <v>186</v>
      </c>
      <c r="L880" s="4">
        <v>129</v>
      </c>
      <c r="M880" s="4">
        <f t="shared" si="15"/>
        <v>23994</v>
      </c>
    </row>
    <row r="881" spans="1:13" ht="15.75" customHeight="1">
      <c r="A881" s="1" t="s">
        <v>635</v>
      </c>
      <c r="B881" s="1" t="str">
        <f>"196601906855"</f>
        <v>196601906855</v>
      </c>
      <c r="C881" s="9" t="s">
        <v>636</v>
      </c>
      <c r="D881" s="2" t="s">
        <v>633</v>
      </c>
      <c r="E881" s="1" t="s">
        <v>370</v>
      </c>
      <c r="F881" s="1" t="s">
        <v>877</v>
      </c>
      <c r="G881" s="1" t="s">
        <v>2219</v>
      </c>
      <c r="H881" s="1" t="s">
        <v>634</v>
      </c>
      <c r="I881" s="1" t="s">
        <v>2220</v>
      </c>
      <c r="J881" s="1" t="s">
        <v>2235</v>
      </c>
      <c r="K881" s="3">
        <v>219</v>
      </c>
      <c r="L881" s="4">
        <v>129</v>
      </c>
      <c r="M881" s="4">
        <f t="shared" si="15"/>
        <v>28251</v>
      </c>
    </row>
    <row r="882" spans="1:13" ht="15.75" customHeight="1">
      <c r="A882" s="1" t="s">
        <v>637</v>
      </c>
      <c r="B882" s="1" t="str">
        <f>"196601906893"</f>
        <v>196601906893</v>
      </c>
      <c r="C882" s="9" t="s">
        <v>638</v>
      </c>
      <c r="D882" s="2" t="s">
        <v>639</v>
      </c>
      <c r="E882" s="1" t="s">
        <v>370</v>
      </c>
      <c r="F882" s="1" t="s">
        <v>640</v>
      </c>
      <c r="G882" s="1" t="s">
        <v>2219</v>
      </c>
      <c r="H882" s="1" t="s">
        <v>641</v>
      </c>
      <c r="I882" s="1" t="s">
        <v>2220</v>
      </c>
      <c r="J882" s="1" t="s">
        <v>2235</v>
      </c>
      <c r="K882" s="3">
        <v>21</v>
      </c>
      <c r="L882" s="4">
        <v>129</v>
      </c>
      <c r="M882" s="4">
        <f t="shared" si="15"/>
        <v>2709</v>
      </c>
    </row>
    <row r="883" spans="1:13" ht="15.75" customHeight="1">
      <c r="A883" s="1" t="s">
        <v>642</v>
      </c>
      <c r="B883" s="1" t="str">
        <f>"196601085260"</f>
        <v>196601085260</v>
      </c>
      <c r="C883" s="9" t="s">
        <v>643</v>
      </c>
      <c r="D883" s="2" t="s">
        <v>644</v>
      </c>
      <c r="E883" s="1" t="s">
        <v>370</v>
      </c>
      <c r="F883" s="1" t="s">
        <v>645</v>
      </c>
      <c r="G883" s="1" t="s">
        <v>2219</v>
      </c>
      <c r="H883" s="1" t="s">
        <v>646</v>
      </c>
      <c r="I883" s="1" t="s">
        <v>2220</v>
      </c>
      <c r="J883" s="1" t="s">
        <v>2815</v>
      </c>
      <c r="K883" s="3">
        <v>11</v>
      </c>
      <c r="L883" s="4">
        <v>129</v>
      </c>
      <c r="M883" s="4">
        <f t="shared" si="15"/>
        <v>1419</v>
      </c>
    </row>
    <row r="884" spans="1:13" ht="15.75" customHeight="1">
      <c r="A884" s="1" t="s">
        <v>647</v>
      </c>
      <c r="B884" s="1" t="str">
        <f>"196601910883"</f>
        <v>196601910883</v>
      </c>
      <c r="C884" s="9" t="s">
        <v>648</v>
      </c>
      <c r="D884" s="2" t="s">
        <v>649</v>
      </c>
      <c r="E884" s="1" t="s">
        <v>370</v>
      </c>
      <c r="F884" s="1" t="s">
        <v>2210</v>
      </c>
      <c r="G884" s="1" t="s">
        <v>2411</v>
      </c>
      <c r="H884" s="1" t="s">
        <v>650</v>
      </c>
      <c r="I884" s="1" t="s">
        <v>2220</v>
      </c>
      <c r="J884" s="1" t="s">
        <v>2235</v>
      </c>
      <c r="K884" s="3">
        <v>185</v>
      </c>
      <c r="L884" s="4">
        <v>129</v>
      </c>
      <c r="M884" s="4">
        <f t="shared" si="15"/>
        <v>23865</v>
      </c>
    </row>
    <row r="885" spans="1:13" ht="15.75" customHeight="1">
      <c r="A885" s="1" t="s">
        <v>651</v>
      </c>
      <c r="B885" s="1" t="str">
        <f>"196601910890"</f>
        <v>196601910890</v>
      </c>
      <c r="C885" s="9" t="s">
        <v>652</v>
      </c>
      <c r="D885" s="2" t="s">
        <v>649</v>
      </c>
      <c r="E885" s="1" t="s">
        <v>370</v>
      </c>
      <c r="F885" s="1" t="s">
        <v>2210</v>
      </c>
      <c r="G885" s="1" t="s">
        <v>2219</v>
      </c>
      <c r="H885" s="1" t="s">
        <v>650</v>
      </c>
      <c r="I885" s="1" t="s">
        <v>2220</v>
      </c>
      <c r="J885" s="1" t="s">
        <v>2235</v>
      </c>
      <c r="K885" s="3">
        <v>133</v>
      </c>
      <c r="L885" s="4">
        <v>129</v>
      </c>
      <c r="M885" s="4">
        <f t="shared" si="15"/>
        <v>17157</v>
      </c>
    </row>
    <row r="886" spans="1:13" ht="15.75" customHeight="1">
      <c r="A886" s="1" t="s">
        <v>653</v>
      </c>
      <c r="B886" s="1" t="str">
        <f>"196601911163"</f>
        <v>196601911163</v>
      </c>
      <c r="C886" s="9" t="s">
        <v>654</v>
      </c>
      <c r="D886" s="2" t="s">
        <v>655</v>
      </c>
      <c r="E886" s="1" t="s">
        <v>370</v>
      </c>
      <c r="F886" s="1" t="s">
        <v>1016</v>
      </c>
      <c r="G886" s="1" t="s">
        <v>2411</v>
      </c>
      <c r="H886" s="1" t="s">
        <v>656</v>
      </c>
      <c r="I886" s="1" t="s">
        <v>2220</v>
      </c>
      <c r="J886" s="1" t="s">
        <v>2235</v>
      </c>
      <c r="K886" s="3">
        <v>18</v>
      </c>
      <c r="L886" s="4">
        <v>129</v>
      </c>
      <c r="M886" s="4">
        <f t="shared" si="15"/>
        <v>2322</v>
      </c>
    </row>
    <row r="887" spans="1:13" ht="15.75" customHeight="1">
      <c r="A887" s="1" t="s">
        <v>657</v>
      </c>
      <c r="B887" s="1" t="str">
        <f>"196601911170"</f>
        <v>196601911170</v>
      </c>
      <c r="C887" s="9" t="s">
        <v>658</v>
      </c>
      <c r="D887" s="2" t="s">
        <v>655</v>
      </c>
      <c r="E887" s="1" t="s">
        <v>370</v>
      </c>
      <c r="F887" s="1" t="s">
        <v>1016</v>
      </c>
      <c r="G887" s="1" t="s">
        <v>2219</v>
      </c>
      <c r="H887" s="1" t="s">
        <v>656</v>
      </c>
      <c r="I887" s="1" t="s">
        <v>2220</v>
      </c>
      <c r="J887" s="1" t="s">
        <v>2235</v>
      </c>
      <c r="K887" s="3">
        <v>43</v>
      </c>
      <c r="L887" s="4">
        <v>129</v>
      </c>
      <c r="M887" s="4">
        <f t="shared" si="15"/>
        <v>5547</v>
      </c>
    </row>
    <row r="888" spans="1:13" ht="15.75" customHeight="1">
      <c r="A888" s="1" t="s">
        <v>659</v>
      </c>
      <c r="B888" s="1" t="str">
        <f>"196601913273"</f>
        <v>196601913273</v>
      </c>
      <c r="C888" s="9" t="s">
        <v>660</v>
      </c>
      <c r="D888" s="2" t="s">
        <v>661</v>
      </c>
      <c r="E888" s="1" t="s">
        <v>370</v>
      </c>
      <c r="F888" s="1" t="s">
        <v>2210</v>
      </c>
      <c r="G888" s="1" t="s">
        <v>2219</v>
      </c>
      <c r="H888" s="1" t="s">
        <v>662</v>
      </c>
      <c r="I888" s="1" t="s">
        <v>2220</v>
      </c>
      <c r="J888" s="1" t="s">
        <v>2815</v>
      </c>
      <c r="K888" s="3">
        <v>2</v>
      </c>
      <c r="L888" s="4">
        <v>129</v>
      </c>
      <c r="M888" s="4">
        <f t="shared" si="15"/>
        <v>258</v>
      </c>
    </row>
    <row r="889" spans="1:13" ht="15.75" customHeight="1">
      <c r="A889" s="1" t="s">
        <v>663</v>
      </c>
      <c r="B889" s="1" t="str">
        <f>"196601913501"</f>
        <v>196601913501</v>
      </c>
      <c r="C889" s="9" t="s">
        <v>664</v>
      </c>
      <c r="D889" s="2"/>
      <c r="E889" s="1" t="s">
        <v>370</v>
      </c>
      <c r="F889" s="1" t="s">
        <v>665</v>
      </c>
      <c r="G889" s="1" t="s">
        <v>2411</v>
      </c>
      <c r="H889" s="1" t="s">
        <v>666</v>
      </c>
      <c r="I889" s="1" t="s">
        <v>2220</v>
      </c>
      <c r="J889" s="1" t="s">
        <v>2815</v>
      </c>
      <c r="K889" s="3">
        <v>1</v>
      </c>
      <c r="L889" s="4">
        <v>129</v>
      </c>
      <c r="M889" s="4">
        <f t="shared" si="15"/>
        <v>129</v>
      </c>
    </row>
    <row r="890" spans="1:13" ht="15.75" customHeight="1">
      <c r="A890" s="1" t="s">
        <v>667</v>
      </c>
      <c r="B890" s="1" t="str">
        <f>"196601913518"</f>
        <v>196601913518</v>
      </c>
      <c r="C890" s="9" t="s">
        <v>668</v>
      </c>
      <c r="D890" s="2" t="s">
        <v>669</v>
      </c>
      <c r="E890" s="1" t="s">
        <v>370</v>
      </c>
      <c r="F890" s="1" t="s">
        <v>665</v>
      </c>
      <c r="G890" s="1" t="s">
        <v>2219</v>
      </c>
      <c r="H890" s="1" t="s">
        <v>666</v>
      </c>
      <c r="I890" s="1" t="s">
        <v>2220</v>
      </c>
      <c r="J890" s="1" t="s">
        <v>2815</v>
      </c>
      <c r="K890" s="3">
        <v>7</v>
      </c>
      <c r="L890" s="4">
        <v>129</v>
      </c>
      <c r="M890" s="4">
        <f t="shared" si="15"/>
        <v>903</v>
      </c>
    </row>
    <row r="891" spans="1:13" ht="15.75" customHeight="1">
      <c r="A891" s="1" t="s">
        <v>670</v>
      </c>
      <c r="B891" s="1" t="str">
        <f>"197571179270"</f>
        <v>197571179270</v>
      </c>
      <c r="C891" s="9" t="s">
        <v>671</v>
      </c>
      <c r="D891" s="2" t="s">
        <v>672</v>
      </c>
      <c r="E891" s="1" t="s">
        <v>370</v>
      </c>
      <c r="F891" s="1" t="s">
        <v>2210</v>
      </c>
      <c r="G891" s="1" t="s">
        <v>2219</v>
      </c>
      <c r="H891" s="1" t="s">
        <v>673</v>
      </c>
      <c r="I891" s="1" t="s">
        <v>2220</v>
      </c>
      <c r="J891" s="1" t="s">
        <v>2815</v>
      </c>
      <c r="K891" s="3">
        <v>53</v>
      </c>
      <c r="L891" s="4">
        <v>99</v>
      </c>
      <c r="M891" s="4">
        <f t="shared" si="15"/>
        <v>5247</v>
      </c>
    </row>
    <row r="892" spans="1:13" ht="15.75" customHeight="1">
      <c r="A892" s="1" t="s">
        <v>674</v>
      </c>
      <c r="B892" s="1" t="str">
        <f>"197571179300"</f>
        <v>197571179300</v>
      </c>
      <c r="C892" s="9" t="s">
        <v>675</v>
      </c>
      <c r="D892" s="2" t="s">
        <v>676</v>
      </c>
      <c r="E892" s="1" t="s">
        <v>370</v>
      </c>
      <c r="F892" s="1" t="s">
        <v>677</v>
      </c>
      <c r="G892" s="1" t="s">
        <v>2411</v>
      </c>
      <c r="H892" s="1" t="s">
        <v>678</v>
      </c>
      <c r="I892" s="1" t="s">
        <v>2220</v>
      </c>
      <c r="J892" s="1" t="s">
        <v>2815</v>
      </c>
      <c r="K892" s="3">
        <v>8</v>
      </c>
      <c r="L892" s="4">
        <v>99</v>
      </c>
      <c r="M892" s="4">
        <f t="shared" si="15"/>
        <v>792</v>
      </c>
    </row>
    <row r="893" spans="1:13" ht="15.75" customHeight="1">
      <c r="A893" s="1" t="s">
        <v>679</v>
      </c>
      <c r="B893" s="1" t="str">
        <f>"197571179317"</f>
        <v>197571179317</v>
      </c>
      <c r="C893" s="9" t="s">
        <v>680</v>
      </c>
      <c r="D893" s="2" t="s">
        <v>676</v>
      </c>
      <c r="E893" s="1" t="s">
        <v>370</v>
      </c>
      <c r="F893" s="1" t="s">
        <v>677</v>
      </c>
      <c r="G893" s="1" t="s">
        <v>2219</v>
      </c>
      <c r="H893" s="1" t="s">
        <v>678</v>
      </c>
      <c r="I893" s="1" t="s">
        <v>2220</v>
      </c>
      <c r="J893" s="1" t="s">
        <v>2815</v>
      </c>
      <c r="K893" s="3">
        <v>30</v>
      </c>
      <c r="L893" s="4">
        <v>99</v>
      </c>
      <c r="M893" s="4">
        <f t="shared" si="15"/>
        <v>2970</v>
      </c>
    </row>
    <row r="894" spans="1:13" ht="15.75" customHeight="1">
      <c r="A894" s="1" t="s">
        <v>681</v>
      </c>
      <c r="B894" s="1" t="str">
        <f>"196601888908"</f>
        <v>196601888908</v>
      </c>
      <c r="C894" s="9" t="s">
        <v>682</v>
      </c>
      <c r="D894" s="2" t="s">
        <v>683</v>
      </c>
      <c r="E894" s="1" t="s">
        <v>370</v>
      </c>
      <c r="F894" s="1" t="s">
        <v>2210</v>
      </c>
      <c r="G894" s="1" t="s">
        <v>2411</v>
      </c>
      <c r="H894" s="1" t="s">
        <v>684</v>
      </c>
      <c r="I894" s="1" t="s">
        <v>2220</v>
      </c>
      <c r="J894" s="1" t="s">
        <v>2815</v>
      </c>
      <c r="K894" s="3">
        <v>13</v>
      </c>
      <c r="L894" s="4">
        <v>149</v>
      </c>
      <c r="M894" s="4">
        <f t="shared" si="15"/>
        <v>1937</v>
      </c>
    </row>
    <row r="895" spans="1:13" ht="15.75" customHeight="1">
      <c r="A895" s="1" t="s">
        <v>685</v>
      </c>
      <c r="B895" s="1" t="str">
        <f>"196601888915"</f>
        <v>196601888915</v>
      </c>
      <c r="C895" s="9" t="s">
        <v>686</v>
      </c>
      <c r="D895" s="2" t="s">
        <v>683</v>
      </c>
      <c r="E895" s="1" t="s">
        <v>370</v>
      </c>
      <c r="F895" s="1" t="s">
        <v>2210</v>
      </c>
      <c r="G895" s="1" t="s">
        <v>2219</v>
      </c>
      <c r="H895" s="1" t="s">
        <v>684</v>
      </c>
      <c r="I895" s="1" t="s">
        <v>2220</v>
      </c>
      <c r="J895" s="1" t="s">
        <v>2815</v>
      </c>
      <c r="K895" s="3">
        <v>70</v>
      </c>
      <c r="L895" s="4">
        <v>149</v>
      </c>
      <c r="M895" s="4">
        <f t="shared" si="15"/>
        <v>10430</v>
      </c>
    </row>
    <row r="896" spans="1:13" ht="15.75" customHeight="1">
      <c r="A896" s="1" t="s">
        <v>687</v>
      </c>
      <c r="B896" s="1" t="str">
        <f>"196601888953"</f>
        <v>196601888953</v>
      </c>
      <c r="C896" s="9" t="s">
        <v>688</v>
      </c>
      <c r="D896" s="2" t="s">
        <v>689</v>
      </c>
      <c r="E896" s="1" t="s">
        <v>370</v>
      </c>
      <c r="F896" s="1" t="s">
        <v>396</v>
      </c>
      <c r="G896" s="1" t="s">
        <v>2219</v>
      </c>
      <c r="H896" s="1" t="s">
        <v>690</v>
      </c>
      <c r="I896" s="1" t="s">
        <v>2220</v>
      </c>
      <c r="J896" s="1" t="s">
        <v>2815</v>
      </c>
      <c r="K896" s="3">
        <v>18</v>
      </c>
      <c r="L896" s="4">
        <v>149</v>
      </c>
      <c r="M896" s="4">
        <f t="shared" si="15"/>
        <v>2682</v>
      </c>
    </row>
    <row r="897" spans="1:13" ht="15.75" customHeight="1">
      <c r="A897" s="1" t="s">
        <v>691</v>
      </c>
      <c r="B897" s="1" t="str">
        <f>"192636647497"</f>
        <v>192636647497</v>
      </c>
      <c r="C897" s="9" t="s">
        <v>692</v>
      </c>
      <c r="D897" s="2"/>
      <c r="E897" s="1" t="s">
        <v>370</v>
      </c>
      <c r="F897" s="1" t="s">
        <v>2210</v>
      </c>
      <c r="G897" s="1" t="s">
        <v>2219</v>
      </c>
      <c r="H897" s="1" t="s">
        <v>693</v>
      </c>
      <c r="I897" s="1" t="s">
        <v>2220</v>
      </c>
      <c r="J897" s="1" t="s">
        <v>2793</v>
      </c>
      <c r="K897" s="3">
        <v>1</v>
      </c>
      <c r="L897" s="4">
        <v>89</v>
      </c>
      <c r="M897" s="4">
        <f t="shared" si="15"/>
        <v>89</v>
      </c>
    </row>
    <row r="898" spans="1:13" ht="15.75" customHeight="1">
      <c r="A898" s="1" t="s">
        <v>694</v>
      </c>
      <c r="B898" s="1" t="str">
        <f>"192636644540"</f>
        <v>192636644540</v>
      </c>
      <c r="C898" s="9" t="s">
        <v>695</v>
      </c>
      <c r="D898" s="2" t="s">
        <v>696</v>
      </c>
      <c r="E898" s="1" t="s">
        <v>370</v>
      </c>
      <c r="F898" s="1" t="s">
        <v>2868</v>
      </c>
      <c r="G898" s="1" t="s">
        <v>2219</v>
      </c>
      <c r="H898" s="1" t="s">
        <v>693</v>
      </c>
      <c r="I898" s="1" t="s">
        <v>2220</v>
      </c>
      <c r="J898" s="1" t="s">
        <v>2793</v>
      </c>
      <c r="K898" s="3">
        <v>7</v>
      </c>
      <c r="L898" s="4">
        <v>89</v>
      </c>
      <c r="M898" s="4">
        <f t="shared" ref="M898:M961" si="16">L898*K898</f>
        <v>623</v>
      </c>
    </row>
    <row r="899" spans="1:13" ht="15.75" customHeight="1">
      <c r="A899" s="1" t="s">
        <v>697</v>
      </c>
      <c r="B899" s="1" t="str">
        <f>"192636644595"</f>
        <v>192636644595</v>
      </c>
      <c r="C899" s="9" t="s">
        <v>698</v>
      </c>
      <c r="D899" s="2" t="s">
        <v>699</v>
      </c>
      <c r="E899" s="1" t="s">
        <v>370</v>
      </c>
      <c r="F899" s="1" t="s">
        <v>2083</v>
      </c>
      <c r="G899" s="1" t="s">
        <v>2219</v>
      </c>
      <c r="H899" s="1" t="s">
        <v>693</v>
      </c>
      <c r="I899" s="1" t="s">
        <v>2220</v>
      </c>
      <c r="J899" s="1" t="s">
        <v>2793</v>
      </c>
      <c r="K899" s="3">
        <v>3</v>
      </c>
      <c r="L899" s="4">
        <v>89</v>
      </c>
      <c r="M899" s="4">
        <f t="shared" si="16"/>
        <v>267</v>
      </c>
    </row>
    <row r="900" spans="1:13" ht="15.75" customHeight="1">
      <c r="A900" s="1" t="s">
        <v>700</v>
      </c>
      <c r="B900" s="1" t="str">
        <f>"192636647923"</f>
        <v>192636647923</v>
      </c>
      <c r="C900" s="9" t="s">
        <v>701</v>
      </c>
      <c r="D900" s="2" t="s">
        <v>702</v>
      </c>
      <c r="E900" s="1" t="s">
        <v>370</v>
      </c>
      <c r="F900" s="1" t="s">
        <v>703</v>
      </c>
      <c r="G900" s="1" t="s">
        <v>2219</v>
      </c>
      <c r="H900" s="1" t="s">
        <v>704</v>
      </c>
      <c r="I900" s="1" t="s">
        <v>2220</v>
      </c>
      <c r="J900" s="1" t="s">
        <v>2815</v>
      </c>
      <c r="K900" s="3">
        <v>9</v>
      </c>
      <c r="L900" s="4">
        <v>89</v>
      </c>
      <c r="M900" s="4">
        <f t="shared" si="16"/>
        <v>801</v>
      </c>
    </row>
    <row r="901" spans="1:13" ht="15.75" customHeight="1">
      <c r="A901" s="1" t="s">
        <v>705</v>
      </c>
      <c r="B901" s="1" t="str">
        <f>"196601528750"</f>
        <v>196601528750</v>
      </c>
      <c r="C901" s="9" t="s">
        <v>706</v>
      </c>
      <c r="D901" s="2" t="s">
        <v>707</v>
      </c>
      <c r="E901" s="1" t="s">
        <v>370</v>
      </c>
      <c r="F901" s="1" t="s">
        <v>2210</v>
      </c>
      <c r="G901" s="1" t="s">
        <v>2219</v>
      </c>
      <c r="H901" s="1" t="s">
        <v>708</v>
      </c>
      <c r="I901" s="1" t="s">
        <v>2220</v>
      </c>
      <c r="J901" s="1" t="s">
        <v>1146</v>
      </c>
      <c r="K901" s="3">
        <v>54</v>
      </c>
      <c r="L901" s="4">
        <v>45</v>
      </c>
      <c r="M901" s="4">
        <f t="shared" si="16"/>
        <v>2430</v>
      </c>
    </row>
    <row r="902" spans="1:13" ht="15.75" customHeight="1">
      <c r="A902" s="1" t="s">
        <v>709</v>
      </c>
      <c r="B902" s="1" t="str">
        <f>"196601528910"</f>
        <v>196601528910</v>
      </c>
      <c r="C902" s="9" t="s">
        <v>710</v>
      </c>
      <c r="D902" s="2" t="s">
        <v>711</v>
      </c>
      <c r="E902" s="1" t="s">
        <v>370</v>
      </c>
      <c r="F902" s="1" t="s">
        <v>396</v>
      </c>
      <c r="G902" s="1" t="s">
        <v>2219</v>
      </c>
      <c r="H902" s="1" t="s">
        <v>712</v>
      </c>
      <c r="I902" s="1" t="s">
        <v>2220</v>
      </c>
      <c r="J902" s="1" t="s">
        <v>1146</v>
      </c>
      <c r="K902" s="3">
        <v>19</v>
      </c>
      <c r="L902" s="4">
        <v>45</v>
      </c>
      <c r="M902" s="4">
        <f t="shared" si="16"/>
        <v>855</v>
      </c>
    </row>
    <row r="903" spans="1:13" ht="15.75" customHeight="1">
      <c r="A903" s="1" t="s">
        <v>713</v>
      </c>
      <c r="B903" s="1" t="str">
        <f>"196601891502"</f>
        <v>196601891502</v>
      </c>
      <c r="C903" s="9" t="s">
        <v>714</v>
      </c>
      <c r="D903" s="2" t="s">
        <v>715</v>
      </c>
      <c r="E903" s="1" t="s">
        <v>370</v>
      </c>
      <c r="F903" s="1" t="s">
        <v>578</v>
      </c>
      <c r="G903" s="1" t="s">
        <v>2411</v>
      </c>
      <c r="H903" s="1" t="s">
        <v>716</v>
      </c>
      <c r="I903" s="1" t="s">
        <v>2257</v>
      </c>
      <c r="J903" s="1" t="s">
        <v>2815</v>
      </c>
      <c r="K903" s="3">
        <v>1</v>
      </c>
      <c r="L903" s="4">
        <v>149</v>
      </c>
      <c r="M903" s="4">
        <f t="shared" si="16"/>
        <v>149</v>
      </c>
    </row>
    <row r="904" spans="1:13" ht="15.75" customHeight="1">
      <c r="A904" s="1" t="s">
        <v>717</v>
      </c>
      <c r="B904" s="1" t="str">
        <f>"196601891540"</f>
        <v>196601891540</v>
      </c>
      <c r="C904" s="9" t="s">
        <v>718</v>
      </c>
      <c r="D904" s="2" t="s">
        <v>719</v>
      </c>
      <c r="E904" s="1" t="s">
        <v>370</v>
      </c>
      <c r="F904" s="1" t="s">
        <v>720</v>
      </c>
      <c r="G904" s="1" t="s">
        <v>2411</v>
      </c>
      <c r="H904" s="1" t="s">
        <v>721</v>
      </c>
      <c r="I904" s="1" t="s">
        <v>2257</v>
      </c>
      <c r="J904" s="1" t="s">
        <v>2815</v>
      </c>
      <c r="K904" s="3">
        <v>1</v>
      </c>
      <c r="L904" s="4">
        <v>149</v>
      </c>
      <c r="M904" s="4">
        <f t="shared" si="16"/>
        <v>149</v>
      </c>
    </row>
    <row r="905" spans="1:13" ht="15.75" customHeight="1">
      <c r="A905" s="1" t="s">
        <v>722</v>
      </c>
      <c r="B905" s="1" t="str">
        <f>"196601912634"</f>
        <v>196601912634</v>
      </c>
      <c r="C905" s="9" t="s">
        <v>723</v>
      </c>
      <c r="D905" s="2" t="s">
        <v>724</v>
      </c>
      <c r="E905" s="1" t="s">
        <v>370</v>
      </c>
      <c r="F905" s="1" t="s">
        <v>640</v>
      </c>
      <c r="G905" s="1" t="s">
        <v>2219</v>
      </c>
      <c r="H905" s="1" t="s">
        <v>725</v>
      </c>
      <c r="I905" s="1" t="s">
        <v>2257</v>
      </c>
      <c r="J905" s="1" t="s">
        <v>2815</v>
      </c>
      <c r="K905" s="3">
        <v>5</v>
      </c>
      <c r="L905" s="4">
        <v>229</v>
      </c>
      <c r="M905" s="4">
        <f t="shared" si="16"/>
        <v>1145</v>
      </c>
    </row>
    <row r="906" spans="1:13" ht="15.75" customHeight="1">
      <c r="A906" s="1" t="s">
        <v>726</v>
      </c>
      <c r="B906" s="1" t="str">
        <f>"196601907784"</f>
        <v>196601907784</v>
      </c>
      <c r="C906" s="9" t="s">
        <v>727</v>
      </c>
      <c r="D906" s="2" t="s">
        <v>728</v>
      </c>
      <c r="E906" s="1" t="s">
        <v>370</v>
      </c>
      <c r="F906" s="1" t="s">
        <v>2210</v>
      </c>
      <c r="G906" s="1" t="s">
        <v>2411</v>
      </c>
      <c r="H906" s="1" t="s">
        <v>729</v>
      </c>
      <c r="I906" s="1" t="s">
        <v>2257</v>
      </c>
      <c r="J906" s="1" t="s">
        <v>2815</v>
      </c>
      <c r="K906" s="3">
        <v>30</v>
      </c>
      <c r="L906" s="4">
        <v>129</v>
      </c>
      <c r="M906" s="4">
        <f t="shared" si="16"/>
        <v>3870</v>
      </c>
    </row>
    <row r="907" spans="1:13" ht="15.75" customHeight="1">
      <c r="A907" s="1" t="s">
        <v>730</v>
      </c>
      <c r="B907" s="1" t="str">
        <f>"196601907791"</f>
        <v>196601907791</v>
      </c>
      <c r="C907" s="9" t="s">
        <v>731</v>
      </c>
      <c r="D907" s="2" t="s">
        <v>728</v>
      </c>
      <c r="E907" s="1" t="s">
        <v>370</v>
      </c>
      <c r="F907" s="1" t="s">
        <v>2210</v>
      </c>
      <c r="G907" s="1" t="s">
        <v>2219</v>
      </c>
      <c r="H907" s="1" t="s">
        <v>729</v>
      </c>
      <c r="I907" s="1" t="s">
        <v>2257</v>
      </c>
      <c r="J907" s="1" t="s">
        <v>2815</v>
      </c>
      <c r="K907" s="3">
        <v>4</v>
      </c>
      <c r="L907" s="4">
        <v>129</v>
      </c>
      <c r="M907" s="4">
        <f t="shared" si="16"/>
        <v>516</v>
      </c>
    </row>
    <row r="908" spans="1:13" ht="15.75" customHeight="1">
      <c r="A908" s="1" t="s">
        <v>732</v>
      </c>
      <c r="B908" s="1" t="str">
        <f>"192636657878"</f>
        <v>192636657878</v>
      </c>
      <c r="C908" s="9" t="s">
        <v>733</v>
      </c>
      <c r="D908" s="2"/>
      <c r="E908" s="1" t="s">
        <v>370</v>
      </c>
      <c r="F908" s="1" t="s">
        <v>734</v>
      </c>
      <c r="G908" s="1" t="s">
        <v>2411</v>
      </c>
      <c r="H908" s="1" t="s">
        <v>735</v>
      </c>
      <c r="I908" s="1" t="s">
        <v>2257</v>
      </c>
      <c r="J908" s="1" t="s">
        <v>1640</v>
      </c>
      <c r="K908" s="3">
        <v>1</v>
      </c>
      <c r="L908" s="4">
        <v>54</v>
      </c>
      <c r="M908" s="4">
        <f t="shared" si="16"/>
        <v>54</v>
      </c>
    </row>
    <row r="909" spans="1:13" ht="15.75" customHeight="1">
      <c r="A909" s="1" t="s">
        <v>736</v>
      </c>
      <c r="B909" s="1" t="str">
        <f>"196601914775"</f>
        <v>196601914775</v>
      </c>
      <c r="C909" s="9" t="s">
        <v>737</v>
      </c>
      <c r="D909" s="2" t="s">
        <v>738</v>
      </c>
      <c r="E909" s="1" t="s">
        <v>370</v>
      </c>
      <c r="F909" s="1" t="s">
        <v>739</v>
      </c>
      <c r="G909" s="1" t="s">
        <v>2211</v>
      </c>
      <c r="H909" s="1" t="s">
        <v>740</v>
      </c>
      <c r="I909" s="1" t="s">
        <v>2257</v>
      </c>
      <c r="J909" s="1" t="s">
        <v>1640</v>
      </c>
      <c r="K909" s="3">
        <v>16</v>
      </c>
      <c r="L909" s="4">
        <v>49.5</v>
      </c>
      <c r="M909" s="4">
        <f t="shared" si="16"/>
        <v>792</v>
      </c>
    </row>
    <row r="910" spans="1:13" ht="15.75" customHeight="1">
      <c r="A910" s="1" t="s">
        <v>741</v>
      </c>
      <c r="B910" s="1" t="str">
        <f>"192636658493"</f>
        <v>192636658493</v>
      </c>
      <c r="C910" s="9" t="s">
        <v>742</v>
      </c>
      <c r="D910" s="2" t="s">
        <v>743</v>
      </c>
      <c r="E910" s="1" t="s">
        <v>370</v>
      </c>
      <c r="F910" s="1" t="s">
        <v>2210</v>
      </c>
      <c r="G910" s="1" t="s">
        <v>2411</v>
      </c>
      <c r="H910" s="1" t="s">
        <v>744</v>
      </c>
      <c r="I910" s="1" t="s">
        <v>2257</v>
      </c>
      <c r="J910" s="1" t="s">
        <v>745</v>
      </c>
      <c r="K910" s="3">
        <v>12</v>
      </c>
      <c r="L910" s="4">
        <v>64</v>
      </c>
      <c r="M910" s="4">
        <f t="shared" si="16"/>
        <v>768</v>
      </c>
    </row>
    <row r="911" spans="1:13" ht="15.75" customHeight="1">
      <c r="A911" s="1" t="s">
        <v>746</v>
      </c>
      <c r="B911" s="1" t="str">
        <f>"192636658547"</f>
        <v>192636658547</v>
      </c>
      <c r="C911" s="9" t="s">
        <v>747</v>
      </c>
      <c r="D911" s="2"/>
      <c r="E911" s="1" t="s">
        <v>370</v>
      </c>
      <c r="F911" s="1" t="s">
        <v>888</v>
      </c>
      <c r="G911" s="1" t="s">
        <v>2211</v>
      </c>
      <c r="H911" s="1" t="s">
        <v>744</v>
      </c>
      <c r="I911" s="1" t="s">
        <v>2257</v>
      </c>
      <c r="J911" s="1" t="s">
        <v>745</v>
      </c>
      <c r="K911" s="3">
        <v>1</v>
      </c>
      <c r="L911" s="4">
        <v>64</v>
      </c>
      <c r="M911" s="4">
        <f t="shared" si="16"/>
        <v>64</v>
      </c>
    </row>
    <row r="912" spans="1:13" ht="14.25" customHeight="1">
      <c r="A912" s="1" t="s">
        <v>748</v>
      </c>
      <c r="B912" s="1" t="str">
        <f>"192636658523"</f>
        <v>192636658523</v>
      </c>
      <c r="C912" s="9" t="s">
        <v>749</v>
      </c>
      <c r="D912" s="2" t="s">
        <v>750</v>
      </c>
      <c r="E912" s="1" t="s">
        <v>370</v>
      </c>
      <c r="F912" s="1" t="s">
        <v>888</v>
      </c>
      <c r="G912" s="1" t="s">
        <v>2219</v>
      </c>
      <c r="H912" s="1" t="s">
        <v>744</v>
      </c>
      <c r="I912" s="1" t="s">
        <v>2257</v>
      </c>
      <c r="J912" s="1" t="s">
        <v>745</v>
      </c>
      <c r="K912" s="3">
        <v>3</v>
      </c>
      <c r="L912" s="4">
        <v>64</v>
      </c>
      <c r="M912" s="4">
        <f t="shared" si="16"/>
        <v>192</v>
      </c>
    </row>
    <row r="913" spans="1:13" ht="15.75" customHeight="1">
      <c r="A913" s="1" t="s">
        <v>751</v>
      </c>
      <c r="B913" s="1" t="str">
        <f>"192636658608"</f>
        <v>192636658608</v>
      </c>
      <c r="C913" s="9" t="s">
        <v>752</v>
      </c>
      <c r="D913" s="2" t="s">
        <v>753</v>
      </c>
      <c r="E913" s="1" t="s">
        <v>370</v>
      </c>
      <c r="F913" s="1" t="s">
        <v>734</v>
      </c>
      <c r="G913" s="1" t="s">
        <v>2219</v>
      </c>
      <c r="H913" s="1" t="s">
        <v>744</v>
      </c>
      <c r="I913" s="1" t="s">
        <v>2257</v>
      </c>
      <c r="J913" s="1" t="s">
        <v>745</v>
      </c>
      <c r="K913" s="3">
        <v>10</v>
      </c>
      <c r="L913" s="4">
        <v>64</v>
      </c>
      <c r="M913" s="4">
        <f t="shared" si="16"/>
        <v>640</v>
      </c>
    </row>
    <row r="914" spans="1:13" ht="15.75" customHeight="1">
      <c r="A914" s="1" t="s">
        <v>754</v>
      </c>
      <c r="B914" s="1" t="str">
        <f>"196601912719"</f>
        <v>196601912719</v>
      </c>
      <c r="C914" s="9" t="s">
        <v>755</v>
      </c>
      <c r="D914" s="2" t="s">
        <v>756</v>
      </c>
      <c r="E914" s="1" t="s">
        <v>370</v>
      </c>
      <c r="F914" s="1" t="s">
        <v>2210</v>
      </c>
      <c r="G914" s="1" t="s">
        <v>2211</v>
      </c>
      <c r="H914" s="1" t="s">
        <v>757</v>
      </c>
      <c r="I914" s="1" t="s">
        <v>2257</v>
      </c>
      <c r="J914" s="1" t="s">
        <v>2815</v>
      </c>
      <c r="K914" s="3">
        <v>3</v>
      </c>
      <c r="L914" s="4">
        <v>159</v>
      </c>
      <c r="M914" s="4">
        <f t="shared" si="16"/>
        <v>477</v>
      </c>
    </row>
    <row r="915" spans="1:13" ht="15.75" customHeight="1">
      <c r="A915" s="1" t="s">
        <v>758</v>
      </c>
      <c r="B915" s="1" t="str">
        <f>"196601912726"</f>
        <v>196601912726</v>
      </c>
      <c r="C915" s="9" t="s">
        <v>759</v>
      </c>
      <c r="D915" s="2" t="s">
        <v>756</v>
      </c>
      <c r="E915" s="1" t="s">
        <v>370</v>
      </c>
      <c r="F915" s="1" t="s">
        <v>2210</v>
      </c>
      <c r="G915" s="1" t="s">
        <v>2411</v>
      </c>
      <c r="H915" s="1" t="s">
        <v>757</v>
      </c>
      <c r="I915" s="1" t="s">
        <v>2257</v>
      </c>
      <c r="J915" s="1" t="s">
        <v>2815</v>
      </c>
      <c r="K915" s="3">
        <v>21</v>
      </c>
      <c r="L915" s="4">
        <v>159</v>
      </c>
      <c r="M915" s="4">
        <f t="shared" si="16"/>
        <v>3339</v>
      </c>
    </row>
    <row r="916" spans="1:13" ht="15.75" customHeight="1">
      <c r="A916" s="1" t="s">
        <v>760</v>
      </c>
      <c r="B916" s="1" t="str">
        <f>"196601912955"</f>
        <v>196601912955</v>
      </c>
      <c r="C916" s="9" t="s">
        <v>761</v>
      </c>
      <c r="D916" s="2" t="s">
        <v>762</v>
      </c>
      <c r="E916" s="1" t="s">
        <v>370</v>
      </c>
      <c r="F916" s="1" t="s">
        <v>507</v>
      </c>
      <c r="G916" s="1" t="s">
        <v>2211</v>
      </c>
      <c r="H916" s="1" t="s">
        <v>763</v>
      </c>
      <c r="I916" s="1" t="s">
        <v>2257</v>
      </c>
      <c r="J916" s="1" t="s">
        <v>2815</v>
      </c>
      <c r="K916" s="3">
        <v>6</v>
      </c>
      <c r="L916" s="4">
        <v>159</v>
      </c>
      <c r="M916" s="4">
        <f t="shared" si="16"/>
        <v>954</v>
      </c>
    </row>
    <row r="917" spans="1:13" ht="15.75" customHeight="1">
      <c r="A917" s="1" t="s">
        <v>764</v>
      </c>
      <c r="B917" s="1" t="str">
        <f>"196601913389"</f>
        <v>196601913389</v>
      </c>
      <c r="C917" s="9" t="s">
        <v>765</v>
      </c>
      <c r="D917" s="2" t="s">
        <v>766</v>
      </c>
      <c r="E917" s="1" t="s">
        <v>370</v>
      </c>
      <c r="F917" s="1" t="s">
        <v>2210</v>
      </c>
      <c r="G917" s="1" t="s">
        <v>2411</v>
      </c>
      <c r="H917" s="1" t="s">
        <v>767</v>
      </c>
      <c r="I917" s="1" t="s">
        <v>2257</v>
      </c>
      <c r="J917" s="1" t="s">
        <v>590</v>
      </c>
      <c r="K917" s="3">
        <v>30</v>
      </c>
      <c r="L917" s="4">
        <v>199</v>
      </c>
      <c r="M917" s="4">
        <f t="shared" si="16"/>
        <v>5970</v>
      </c>
    </row>
    <row r="918" spans="1:13" ht="15.75" customHeight="1">
      <c r="A918" s="1" t="s">
        <v>768</v>
      </c>
      <c r="B918" s="1" t="str">
        <f>"196601915314"</f>
        <v>196601915314</v>
      </c>
      <c r="C918" s="9" t="s">
        <v>769</v>
      </c>
      <c r="D918" s="2" t="s">
        <v>770</v>
      </c>
      <c r="E918" s="1" t="s">
        <v>370</v>
      </c>
      <c r="F918" s="1" t="s">
        <v>2210</v>
      </c>
      <c r="G918" s="1" t="s">
        <v>2219</v>
      </c>
      <c r="H918" s="1" t="s">
        <v>771</v>
      </c>
      <c r="I918" s="1" t="s">
        <v>2257</v>
      </c>
      <c r="J918" s="1" t="s">
        <v>2815</v>
      </c>
      <c r="K918" s="3">
        <v>1</v>
      </c>
      <c r="L918" s="4">
        <v>149</v>
      </c>
      <c r="M918" s="4">
        <f t="shared" si="16"/>
        <v>149</v>
      </c>
    </row>
    <row r="919" spans="1:13" ht="15.75" customHeight="1">
      <c r="A919" s="1" t="s">
        <v>772</v>
      </c>
      <c r="B919" s="1" t="str">
        <f>"196601086052"</f>
        <v>196601086052</v>
      </c>
      <c r="C919" s="9" t="s">
        <v>773</v>
      </c>
      <c r="D919" s="2" t="s">
        <v>774</v>
      </c>
      <c r="E919" s="1" t="s">
        <v>370</v>
      </c>
      <c r="F919" s="1" t="s">
        <v>2210</v>
      </c>
      <c r="G919" s="1" t="s">
        <v>2411</v>
      </c>
      <c r="H919" s="1" t="s">
        <v>775</v>
      </c>
      <c r="I919" s="1" t="s">
        <v>2257</v>
      </c>
      <c r="J919" s="1" t="s">
        <v>2793</v>
      </c>
      <c r="K919" s="3">
        <v>14</v>
      </c>
      <c r="L919" s="4">
        <v>89</v>
      </c>
      <c r="M919" s="4">
        <f t="shared" si="16"/>
        <v>1246</v>
      </c>
    </row>
    <row r="920" spans="1:13" ht="15.75" customHeight="1">
      <c r="A920" s="1" t="s">
        <v>776</v>
      </c>
      <c r="B920" s="1" t="str">
        <f>"196601086137"</f>
        <v>196601086137</v>
      </c>
      <c r="C920" s="9" t="s">
        <v>777</v>
      </c>
      <c r="D920" s="2" t="s">
        <v>778</v>
      </c>
      <c r="E920" s="1" t="s">
        <v>370</v>
      </c>
      <c r="F920" s="1" t="s">
        <v>396</v>
      </c>
      <c r="G920" s="1" t="s">
        <v>2411</v>
      </c>
      <c r="H920" s="1" t="s">
        <v>779</v>
      </c>
      <c r="I920" s="1" t="s">
        <v>2257</v>
      </c>
      <c r="J920" s="1" t="s">
        <v>2793</v>
      </c>
      <c r="K920" s="3">
        <v>46</v>
      </c>
      <c r="L920" s="4">
        <v>89</v>
      </c>
      <c r="M920" s="4">
        <f t="shared" si="16"/>
        <v>4094</v>
      </c>
    </row>
    <row r="921" spans="1:13" ht="15.75" customHeight="1">
      <c r="A921" s="1" t="s">
        <v>780</v>
      </c>
      <c r="B921" s="1" t="str">
        <f>"196601891243"</f>
        <v>196601891243</v>
      </c>
      <c r="C921" s="9" t="s">
        <v>781</v>
      </c>
      <c r="D921" s="2" t="s">
        <v>782</v>
      </c>
      <c r="E921" s="1" t="s">
        <v>370</v>
      </c>
      <c r="F921" s="1" t="s">
        <v>2210</v>
      </c>
      <c r="G921" s="1" t="s">
        <v>2411</v>
      </c>
      <c r="H921" s="1" t="s">
        <v>783</v>
      </c>
      <c r="I921" s="1" t="s">
        <v>2257</v>
      </c>
      <c r="J921" s="1" t="s">
        <v>2815</v>
      </c>
      <c r="K921" s="3">
        <v>21</v>
      </c>
      <c r="L921" s="4">
        <v>169</v>
      </c>
      <c r="M921" s="4">
        <f t="shared" si="16"/>
        <v>3549</v>
      </c>
    </row>
    <row r="922" spans="1:13" ht="15.75" customHeight="1">
      <c r="A922" s="1" t="s">
        <v>784</v>
      </c>
      <c r="B922" s="1" t="str">
        <f>"196601915505"</f>
        <v>196601915505</v>
      </c>
      <c r="C922" s="9" t="s">
        <v>785</v>
      </c>
      <c r="D922" s="2" t="s">
        <v>786</v>
      </c>
      <c r="E922" s="1" t="s">
        <v>370</v>
      </c>
      <c r="F922" s="1" t="s">
        <v>1016</v>
      </c>
      <c r="G922" s="1" t="s">
        <v>2411</v>
      </c>
      <c r="H922" s="1" t="s">
        <v>787</v>
      </c>
      <c r="I922" s="1" t="s">
        <v>2257</v>
      </c>
      <c r="J922" s="1" t="s">
        <v>2815</v>
      </c>
      <c r="K922" s="3">
        <v>8</v>
      </c>
      <c r="L922" s="4">
        <v>169</v>
      </c>
      <c r="M922" s="4">
        <f t="shared" si="16"/>
        <v>1352</v>
      </c>
    </row>
    <row r="923" spans="1:13" ht="15.75" customHeight="1">
      <c r="A923" s="1" t="s">
        <v>788</v>
      </c>
      <c r="B923" s="1" t="str">
        <f>"196601910609"</f>
        <v>196601910609</v>
      </c>
      <c r="C923" s="9" t="s">
        <v>789</v>
      </c>
      <c r="D923" s="2" t="s">
        <v>790</v>
      </c>
      <c r="E923" s="1" t="s">
        <v>370</v>
      </c>
      <c r="F923" s="1" t="s">
        <v>513</v>
      </c>
      <c r="G923" s="1" t="s">
        <v>2411</v>
      </c>
      <c r="H923" s="1" t="s">
        <v>791</v>
      </c>
      <c r="I923" s="1" t="s">
        <v>2257</v>
      </c>
      <c r="J923" s="1" t="s">
        <v>2815</v>
      </c>
      <c r="K923" s="3">
        <v>1</v>
      </c>
      <c r="L923" s="4">
        <v>169</v>
      </c>
      <c r="M923" s="4">
        <f t="shared" si="16"/>
        <v>169</v>
      </c>
    </row>
    <row r="924" spans="1:13" ht="15.75" customHeight="1">
      <c r="A924" s="1" t="s">
        <v>792</v>
      </c>
      <c r="B924" s="1" t="str">
        <f>"196601890406"</f>
        <v>196601890406</v>
      </c>
      <c r="C924" s="9" t="s">
        <v>793</v>
      </c>
      <c r="D924" s="2" t="s">
        <v>794</v>
      </c>
      <c r="E924" s="1" t="s">
        <v>370</v>
      </c>
      <c r="F924" s="1" t="s">
        <v>2210</v>
      </c>
      <c r="G924" s="1" t="s">
        <v>2411</v>
      </c>
      <c r="H924" s="1" t="s">
        <v>795</v>
      </c>
      <c r="I924" s="1" t="s">
        <v>2257</v>
      </c>
      <c r="J924" s="1" t="s">
        <v>2827</v>
      </c>
      <c r="K924" s="3">
        <v>17</v>
      </c>
      <c r="L924" s="4">
        <v>99</v>
      </c>
      <c r="M924" s="4">
        <f t="shared" si="16"/>
        <v>1683</v>
      </c>
    </row>
    <row r="925" spans="1:13" ht="15.75" customHeight="1">
      <c r="A925" s="1" t="s">
        <v>796</v>
      </c>
      <c r="B925" s="1" t="str">
        <f>"196601890413"</f>
        <v>196601890413</v>
      </c>
      <c r="C925" s="9" t="s">
        <v>797</v>
      </c>
      <c r="D925" s="2" t="s">
        <v>794</v>
      </c>
      <c r="E925" s="1" t="s">
        <v>370</v>
      </c>
      <c r="F925" s="1" t="s">
        <v>2210</v>
      </c>
      <c r="G925" s="1" t="s">
        <v>2219</v>
      </c>
      <c r="H925" s="1" t="s">
        <v>795</v>
      </c>
      <c r="I925" s="1" t="s">
        <v>2257</v>
      </c>
      <c r="J925" s="1" t="s">
        <v>2827</v>
      </c>
      <c r="K925" s="3">
        <v>10</v>
      </c>
      <c r="L925" s="4">
        <v>99</v>
      </c>
      <c r="M925" s="4">
        <f t="shared" si="16"/>
        <v>990</v>
      </c>
    </row>
    <row r="926" spans="1:13" ht="15.75" customHeight="1">
      <c r="A926" s="1" t="s">
        <v>798</v>
      </c>
      <c r="B926" s="1" t="str">
        <f>"196601911279"</f>
        <v>196601911279</v>
      </c>
      <c r="C926" s="9" t="s">
        <v>799</v>
      </c>
      <c r="D926" s="2" t="s">
        <v>800</v>
      </c>
      <c r="E926" s="1" t="s">
        <v>370</v>
      </c>
      <c r="F926" s="1" t="s">
        <v>2210</v>
      </c>
      <c r="G926" s="1" t="s">
        <v>2211</v>
      </c>
      <c r="H926" s="1" t="s">
        <v>801</v>
      </c>
      <c r="I926" s="1" t="s">
        <v>2257</v>
      </c>
      <c r="J926" s="1" t="s">
        <v>2935</v>
      </c>
      <c r="K926" s="3">
        <v>42</v>
      </c>
      <c r="L926" s="4">
        <v>199</v>
      </c>
      <c r="M926" s="4">
        <f t="shared" si="16"/>
        <v>8358</v>
      </c>
    </row>
    <row r="927" spans="1:13" ht="15.75" customHeight="1">
      <c r="A927" s="1" t="s">
        <v>802</v>
      </c>
      <c r="B927" s="1" t="str">
        <f>"196601911286"</f>
        <v>196601911286</v>
      </c>
      <c r="C927" s="9" t="s">
        <v>803</v>
      </c>
      <c r="D927" s="2" t="s">
        <v>800</v>
      </c>
      <c r="E927" s="1" t="s">
        <v>370</v>
      </c>
      <c r="F927" s="1" t="s">
        <v>2210</v>
      </c>
      <c r="G927" s="1" t="s">
        <v>2411</v>
      </c>
      <c r="H927" s="1" t="s">
        <v>801</v>
      </c>
      <c r="I927" s="1" t="s">
        <v>2257</v>
      </c>
      <c r="J927" s="1" t="s">
        <v>2935</v>
      </c>
      <c r="K927" s="3">
        <v>4</v>
      </c>
      <c r="L927" s="4">
        <v>199</v>
      </c>
      <c r="M927" s="4">
        <f t="shared" si="16"/>
        <v>796</v>
      </c>
    </row>
    <row r="928" spans="1:13" ht="15.75" customHeight="1">
      <c r="A928" s="1" t="s">
        <v>804</v>
      </c>
      <c r="B928" s="1" t="str">
        <f>"196601911552"</f>
        <v>196601911552</v>
      </c>
      <c r="C928" s="1" t="s">
        <v>805</v>
      </c>
      <c r="D928" s="2" t="s">
        <v>806</v>
      </c>
      <c r="E928" s="1" t="s">
        <v>370</v>
      </c>
      <c r="F928" s="1" t="s">
        <v>507</v>
      </c>
      <c r="G928" s="1" t="s">
        <v>2211</v>
      </c>
      <c r="H928" s="1" t="s">
        <v>807</v>
      </c>
      <c r="I928" s="1" t="s">
        <v>2257</v>
      </c>
      <c r="J928" s="1" t="s">
        <v>2935</v>
      </c>
      <c r="K928" s="3">
        <v>1</v>
      </c>
      <c r="L928" s="4">
        <v>199</v>
      </c>
      <c r="M928" s="4">
        <f t="shared" si="16"/>
        <v>199</v>
      </c>
    </row>
    <row r="929" spans="1:13" ht="15.75" customHeight="1">
      <c r="A929" s="1" t="s">
        <v>808</v>
      </c>
      <c r="B929" s="1" t="str">
        <f>"886785574369"</f>
        <v>886785574369</v>
      </c>
      <c r="C929" s="1" t="s">
        <v>809</v>
      </c>
      <c r="D929" s="2" t="s">
        <v>810</v>
      </c>
      <c r="E929" s="1" t="s">
        <v>811</v>
      </c>
      <c r="F929" s="1" t="s">
        <v>2210</v>
      </c>
      <c r="G929" s="1" t="s">
        <v>2411</v>
      </c>
      <c r="H929" s="1" t="s">
        <v>812</v>
      </c>
      <c r="I929" s="1" t="s">
        <v>2257</v>
      </c>
      <c r="J929" s="1" t="s">
        <v>2935</v>
      </c>
      <c r="K929" s="3">
        <v>24</v>
      </c>
      <c r="L929" s="4">
        <v>210</v>
      </c>
      <c r="M929" s="4">
        <f t="shared" si="16"/>
        <v>5040</v>
      </c>
    </row>
    <row r="930" spans="1:13" ht="15.75" customHeight="1">
      <c r="A930" s="1" t="s">
        <v>813</v>
      </c>
      <c r="B930" s="1" t="str">
        <f>"886785574437"</f>
        <v>886785574437</v>
      </c>
      <c r="C930" s="1" t="s">
        <v>814</v>
      </c>
      <c r="D930" s="2" t="s">
        <v>815</v>
      </c>
      <c r="E930" s="1" t="s">
        <v>811</v>
      </c>
      <c r="F930" s="1" t="s">
        <v>816</v>
      </c>
      <c r="G930" s="1" t="s">
        <v>2211</v>
      </c>
      <c r="H930" s="1" t="s">
        <v>812</v>
      </c>
      <c r="I930" s="1" t="s">
        <v>2257</v>
      </c>
      <c r="J930" s="1" t="s">
        <v>2935</v>
      </c>
      <c r="K930" s="3">
        <v>8</v>
      </c>
      <c r="L930" s="4">
        <v>210</v>
      </c>
      <c r="M930" s="4">
        <f t="shared" si="16"/>
        <v>1680</v>
      </c>
    </row>
    <row r="931" spans="1:13" ht="15.75" customHeight="1">
      <c r="A931" s="1" t="s">
        <v>817</v>
      </c>
      <c r="B931" s="1" t="str">
        <f>"886785574444"</f>
        <v>886785574444</v>
      </c>
      <c r="C931" s="1" t="s">
        <v>818</v>
      </c>
      <c r="D931" s="2" t="s">
        <v>815</v>
      </c>
      <c r="E931" s="1" t="s">
        <v>811</v>
      </c>
      <c r="F931" s="1" t="s">
        <v>816</v>
      </c>
      <c r="G931" s="1" t="s">
        <v>2411</v>
      </c>
      <c r="H931" s="1" t="s">
        <v>812</v>
      </c>
      <c r="I931" s="1" t="s">
        <v>2257</v>
      </c>
      <c r="J931" s="1" t="s">
        <v>2935</v>
      </c>
      <c r="K931" s="3">
        <v>10</v>
      </c>
      <c r="L931" s="4">
        <v>210</v>
      </c>
      <c r="M931" s="4">
        <f t="shared" si="16"/>
        <v>2100</v>
      </c>
    </row>
    <row r="932" spans="1:13" ht="15.75" customHeight="1">
      <c r="A932" s="1" t="s">
        <v>819</v>
      </c>
      <c r="B932" s="1" t="str">
        <f>"886785574406"</f>
        <v>886785574406</v>
      </c>
      <c r="C932" s="1" t="s">
        <v>820</v>
      </c>
      <c r="D932" s="2" t="s">
        <v>821</v>
      </c>
      <c r="E932" s="1" t="s">
        <v>811</v>
      </c>
      <c r="F932" s="1" t="s">
        <v>822</v>
      </c>
      <c r="G932" s="1" t="s">
        <v>2411</v>
      </c>
      <c r="H932" s="1" t="s">
        <v>812</v>
      </c>
      <c r="I932" s="1" t="s">
        <v>2257</v>
      </c>
      <c r="J932" s="1" t="s">
        <v>2935</v>
      </c>
      <c r="K932" s="3">
        <v>25</v>
      </c>
      <c r="L932" s="4">
        <v>210</v>
      </c>
      <c r="M932" s="4">
        <f t="shared" si="16"/>
        <v>5250</v>
      </c>
    </row>
    <row r="933" spans="1:13" ht="15.75" customHeight="1">
      <c r="A933" s="1" t="s">
        <v>823</v>
      </c>
      <c r="B933" s="1" t="str">
        <f>"886785574413"</f>
        <v>886785574413</v>
      </c>
      <c r="C933" s="1" t="s">
        <v>824</v>
      </c>
      <c r="D933" s="2" t="s">
        <v>821</v>
      </c>
      <c r="E933" s="1" t="s">
        <v>811</v>
      </c>
      <c r="F933" s="1" t="s">
        <v>822</v>
      </c>
      <c r="G933" s="1" t="s">
        <v>2219</v>
      </c>
      <c r="H933" s="1" t="s">
        <v>812</v>
      </c>
      <c r="I933" s="1" t="s">
        <v>2257</v>
      </c>
      <c r="J933" s="1" t="s">
        <v>2935</v>
      </c>
      <c r="K933" s="3">
        <v>1</v>
      </c>
      <c r="L933" s="4">
        <v>210</v>
      </c>
      <c r="M933" s="4">
        <f t="shared" si="16"/>
        <v>210</v>
      </c>
    </row>
    <row r="934" spans="1:13" ht="15.75" customHeight="1">
      <c r="A934" s="1" t="s">
        <v>825</v>
      </c>
      <c r="B934" s="1" t="str">
        <f>"886785574161"</f>
        <v>886785574161</v>
      </c>
      <c r="C934" s="1" t="s">
        <v>826</v>
      </c>
      <c r="D934" s="2" t="s">
        <v>827</v>
      </c>
      <c r="E934" s="1" t="s">
        <v>811</v>
      </c>
      <c r="F934" s="1" t="s">
        <v>828</v>
      </c>
      <c r="G934" s="1" t="s">
        <v>2411</v>
      </c>
      <c r="H934" s="1" t="s">
        <v>829</v>
      </c>
      <c r="I934" s="1" t="s">
        <v>2257</v>
      </c>
      <c r="J934" s="1" t="s">
        <v>2935</v>
      </c>
      <c r="K934" s="3">
        <v>11</v>
      </c>
      <c r="L934" s="4">
        <v>200</v>
      </c>
      <c r="M934" s="4">
        <f t="shared" si="16"/>
        <v>2200</v>
      </c>
    </row>
    <row r="935" spans="1:13" ht="15.75" customHeight="1">
      <c r="A935" s="1" t="s">
        <v>830</v>
      </c>
      <c r="B935" s="1" t="str">
        <f>"886785574154"</f>
        <v>886785574154</v>
      </c>
      <c r="C935" s="1" t="s">
        <v>831</v>
      </c>
      <c r="D935" s="2" t="s">
        <v>827</v>
      </c>
      <c r="E935" s="1" t="s">
        <v>811</v>
      </c>
      <c r="F935" s="1" t="s">
        <v>828</v>
      </c>
      <c r="G935" s="1" t="s">
        <v>2219</v>
      </c>
      <c r="H935" s="1" t="s">
        <v>829</v>
      </c>
      <c r="I935" s="1" t="s">
        <v>2257</v>
      </c>
      <c r="J935" s="1" t="s">
        <v>2935</v>
      </c>
      <c r="K935" s="3">
        <v>8</v>
      </c>
      <c r="L935" s="4">
        <v>200</v>
      </c>
      <c r="M935" s="4">
        <f t="shared" si="16"/>
        <v>1600</v>
      </c>
    </row>
    <row r="936" spans="1:13" ht="15.75" customHeight="1">
      <c r="A936" s="1" t="s">
        <v>832</v>
      </c>
      <c r="B936" s="1" t="str">
        <f>"886785574208"</f>
        <v>886785574208</v>
      </c>
      <c r="C936" s="1" t="s">
        <v>833</v>
      </c>
      <c r="D936" s="2" t="s">
        <v>834</v>
      </c>
      <c r="E936" s="1" t="s">
        <v>811</v>
      </c>
      <c r="F936" s="1" t="s">
        <v>2210</v>
      </c>
      <c r="G936" s="1" t="s">
        <v>2411</v>
      </c>
      <c r="H936" s="1" t="s">
        <v>835</v>
      </c>
      <c r="I936" s="1" t="s">
        <v>2257</v>
      </c>
      <c r="J936" s="1" t="s">
        <v>2935</v>
      </c>
      <c r="K936" s="3">
        <v>24</v>
      </c>
      <c r="L936" s="4">
        <v>225</v>
      </c>
      <c r="M936" s="4">
        <f t="shared" si="16"/>
        <v>5400</v>
      </c>
    </row>
    <row r="937" spans="1:13" ht="15.75" customHeight="1">
      <c r="A937" s="1" t="s">
        <v>836</v>
      </c>
      <c r="B937" s="1" t="str">
        <f>"886785574253"</f>
        <v>886785574253</v>
      </c>
      <c r="C937" s="1" t="s">
        <v>837</v>
      </c>
      <c r="D937" s="2" t="s">
        <v>838</v>
      </c>
      <c r="E937" s="1" t="s">
        <v>811</v>
      </c>
      <c r="F937" s="1" t="s">
        <v>839</v>
      </c>
      <c r="G937" s="1" t="s">
        <v>2211</v>
      </c>
      <c r="H937" s="1" t="s">
        <v>835</v>
      </c>
      <c r="I937" s="1" t="s">
        <v>2257</v>
      </c>
      <c r="J937" s="1" t="s">
        <v>2935</v>
      </c>
      <c r="K937" s="3">
        <v>38</v>
      </c>
      <c r="L937" s="4">
        <v>225</v>
      </c>
      <c r="M937" s="4">
        <f t="shared" si="16"/>
        <v>8550</v>
      </c>
    </row>
    <row r="938" spans="1:13" ht="15.75" customHeight="1">
      <c r="A938" s="1" t="s">
        <v>840</v>
      </c>
      <c r="B938" s="1" t="str">
        <f>"886785574246"</f>
        <v>886785574246</v>
      </c>
      <c r="C938" s="1" t="s">
        <v>841</v>
      </c>
      <c r="D938" s="2" t="s">
        <v>838</v>
      </c>
      <c r="E938" s="1" t="s">
        <v>811</v>
      </c>
      <c r="F938" s="1" t="s">
        <v>839</v>
      </c>
      <c r="G938" s="1" t="s">
        <v>2411</v>
      </c>
      <c r="H938" s="1" t="s">
        <v>835</v>
      </c>
      <c r="I938" s="1" t="s">
        <v>2257</v>
      </c>
      <c r="J938" s="1" t="s">
        <v>2935</v>
      </c>
      <c r="K938" s="3">
        <v>38</v>
      </c>
      <c r="L938" s="4">
        <v>225</v>
      </c>
      <c r="M938" s="4">
        <f t="shared" si="16"/>
        <v>8550</v>
      </c>
    </row>
    <row r="939" spans="1:13" ht="15.75" customHeight="1">
      <c r="A939" s="1" t="s">
        <v>842</v>
      </c>
      <c r="B939" s="1" t="str">
        <f>"886785574239"</f>
        <v>886785574239</v>
      </c>
      <c r="C939" s="1" t="s">
        <v>843</v>
      </c>
      <c r="D939" s="2" t="s">
        <v>838</v>
      </c>
      <c r="E939" s="1" t="s">
        <v>811</v>
      </c>
      <c r="F939" s="1" t="s">
        <v>839</v>
      </c>
      <c r="G939" s="1" t="s">
        <v>2219</v>
      </c>
      <c r="H939" s="1" t="s">
        <v>835</v>
      </c>
      <c r="I939" s="1" t="s">
        <v>2257</v>
      </c>
      <c r="J939" s="1" t="s">
        <v>2935</v>
      </c>
      <c r="K939" s="3">
        <v>23</v>
      </c>
      <c r="L939" s="4">
        <v>225</v>
      </c>
      <c r="M939" s="4">
        <f t="shared" si="16"/>
        <v>5175</v>
      </c>
    </row>
    <row r="940" spans="1:13" ht="15.75" customHeight="1">
      <c r="A940" s="1" t="s">
        <v>844</v>
      </c>
      <c r="B940" s="1" t="str">
        <f>"886785574277"</f>
        <v>886785574277</v>
      </c>
      <c r="C940" s="1" t="s">
        <v>845</v>
      </c>
      <c r="D940" s="2" t="s">
        <v>846</v>
      </c>
      <c r="E940" s="1" t="s">
        <v>811</v>
      </c>
      <c r="F940" s="1" t="s">
        <v>2210</v>
      </c>
      <c r="G940" s="1" t="s">
        <v>2211</v>
      </c>
      <c r="H940" s="1" t="s">
        <v>847</v>
      </c>
      <c r="I940" s="1" t="s">
        <v>2257</v>
      </c>
      <c r="J940" s="1" t="s">
        <v>2935</v>
      </c>
      <c r="K940" s="3">
        <v>23</v>
      </c>
      <c r="L940" s="4">
        <v>225</v>
      </c>
      <c r="M940" s="4">
        <f t="shared" si="16"/>
        <v>5175</v>
      </c>
    </row>
    <row r="941" spans="1:13" ht="15.75" customHeight="1">
      <c r="A941" s="1" t="s">
        <v>848</v>
      </c>
      <c r="B941" s="1" t="str">
        <f>"886785574284"</f>
        <v>886785574284</v>
      </c>
      <c r="C941" s="1" t="s">
        <v>849</v>
      </c>
      <c r="D941" s="2" t="s">
        <v>846</v>
      </c>
      <c r="E941" s="1" t="s">
        <v>811</v>
      </c>
      <c r="F941" s="1" t="s">
        <v>2210</v>
      </c>
      <c r="G941" s="1" t="s">
        <v>2411</v>
      </c>
      <c r="H941" s="1" t="s">
        <v>847</v>
      </c>
      <c r="I941" s="1" t="s">
        <v>2257</v>
      </c>
      <c r="J941" s="1" t="s">
        <v>2935</v>
      </c>
      <c r="K941" s="3">
        <v>33</v>
      </c>
      <c r="L941" s="4">
        <v>225</v>
      </c>
      <c r="M941" s="4">
        <f t="shared" si="16"/>
        <v>7425</v>
      </c>
    </row>
    <row r="942" spans="1:13" ht="15.75" customHeight="1">
      <c r="A942" s="1" t="s">
        <v>0</v>
      </c>
      <c r="B942" s="1" t="str">
        <f>"886785574291"</f>
        <v>886785574291</v>
      </c>
      <c r="C942" s="1" t="s">
        <v>1</v>
      </c>
      <c r="D942" s="2" t="s">
        <v>846</v>
      </c>
      <c r="E942" s="1" t="s">
        <v>811</v>
      </c>
      <c r="F942" s="1" t="s">
        <v>2210</v>
      </c>
      <c r="G942" s="1" t="s">
        <v>2219</v>
      </c>
      <c r="H942" s="1" t="s">
        <v>847</v>
      </c>
      <c r="I942" s="1" t="s">
        <v>2257</v>
      </c>
      <c r="J942" s="1" t="s">
        <v>2935</v>
      </c>
      <c r="K942" s="3">
        <v>22</v>
      </c>
      <c r="L942" s="4">
        <v>225</v>
      </c>
      <c r="M942" s="4">
        <f t="shared" si="16"/>
        <v>4950</v>
      </c>
    </row>
    <row r="943" spans="1:13" ht="15.75" customHeight="1">
      <c r="A943" s="1" t="s">
        <v>2</v>
      </c>
      <c r="B943" s="1" t="str">
        <f>"886785574314"</f>
        <v>886785574314</v>
      </c>
      <c r="C943" s="1" t="s">
        <v>3</v>
      </c>
      <c r="D943" s="2" t="s">
        <v>4</v>
      </c>
      <c r="E943" s="1" t="s">
        <v>811</v>
      </c>
      <c r="F943" s="1" t="s">
        <v>2868</v>
      </c>
      <c r="G943" s="1" t="s">
        <v>2211</v>
      </c>
      <c r="H943" s="1" t="s">
        <v>847</v>
      </c>
      <c r="I943" s="1" t="s">
        <v>2257</v>
      </c>
      <c r="J943" s="1" t="s">
        <v>2935</v>
      </c>
      <c r="K943" s="3">
        <v>40</v>
      </c>
      <c r="L943" s="4">
        <v>225</v>
      </c>
      <c r="M943" s="4">
        <f t="shared" si="16"/>
        <v>9000</v>
      </c>
    </row>
    <row r="944" spans="1:13" ht="15.75" customHeight="1">
      <c r="A944" s="1" t="s">
        <v>5</v>
      </c>
      <c r="B944" s="1" t="str">
        <f>"886785574321"</f>
        <v>886785574321</v>
      </c>
      <c r="C944" s="1" t="s">
        <v>6</v>
      </c>
      <c r="D944" s="2" t="s">
        <v>4</v>
      </c>
      <c r="E944" s="1" t="s">
        <v>811</v>
      </c>
      <c r="F944" s="1" t="s">
        <v>2868</v>
      </c>
      <c r="G944" s="1" t="s">
        <v>2411</v>
      </c>
      <c r="H944" s="1" t="s">
        <v>847</v>
      </c>
      <c r="I944" s="1" t="s">
        <v>2257</v>
      </c>
      <c r="J944" s="1" t="s">
        <v>2935</v>
      </c>
      <c r="K944" s="3">
        <v>21</v>
      </c>
      <c r="L944" s="4">
        <v>225</v>
      </c>
      <c r="M944" s="4">
        <f t="shared" si="16"/>
        <v>4725</v>
      </c>
    </row>
    <row r="945" spans="1:13" ht="15.75" customHeight="1">
      <c r="A945" s="1" t="s">
        <v>7</v>
      </c>
      <c r="B945" s="1" t="str">
        <f>"886785574338"</f>
        <v>886785574338</v>
      </c>
      <c r="C945" s="1" t="s">
        <v>8</v>
      </c>
      <c r="D945" s="2" t="s">
        <v>4</v>
      </c>
      <c r="E945" s="1" t="s">
        <v>811</v>
      </c>
      <c r="F945" s="1" t="s">
        <v>2868</v>
      </c>
      <c r="G945" s="1" t="s">
        <v>2219</v>
      </c>
      <c r="H945" s="1" t="s">
        <v>847</v>
      </c>
      <c r="I945" s="1" t="s">
        <v>2257</v>
      </c>
      <c r="J945" s="1" t="s">
        <v>2935</v>
      </c>
      <c r="K945" s="3">
        <v>20</v>
      </c>
      <c r="L945" s="4">
        <v>225</v>
      </c>
      <c r="M945" s="4">
        <f t="shared" si="16"/>
        <v>4500</v>
      </c>
    </row>
    <row r="946" spans="1:13" ht="15.75" customHeight="1">
      <c r="A946" s="1" t="s">
        <v>9</v>
      </c>
      <c r="B946" s="1" t="str">
        <f>"192334767725"</f>
        <v>192334767725</v>
      </c>
      <c r="C946" s="1" t="s">
        <v>10</v>
      </c>
      <c r="D946" s="2" t="s">
        <v>11</v>
      </c>
      <c r="E946" s="1" t="s">
        <v>811</v>
      </c>
      <c r="F946" s="1" t="s">
        <v>839</v>
      </c>
      <c r="G946" s="1" t="s">
        <v>2211</v>
      </c>
      <c r="H946" s="1" t="s">
        <v>12</v>
      </c>
      <c r="I946" s="1" t="s">
        <v>2257</v>
      </c>
      <c r="J946" s="1" t="s">
        <v>2815</v>
      </c>
      <c r="K946" s="3">
        <v>23</v>
      </c>
      <c r="L946" s="4">
        <v>89.5</v>
      </c>
      <c r="M946" s="4">
        <f t="shared" si="16"/>
        <v>2058.5</v>
      </c>
    </row>
    <row r="947" spans="1:13" ht="15.75" customHeight="1">
      <c r="A947" s="1" t="s">
        <v>13</v>
      </c>
      <c r="B947" s="1" t="str">
        <f>"192334767732"</f>
        <v>192334767732</v>
      </c>
      <c r="C947" s="1" t="s">
        <v>14</v>
      </c>
      <c r="D947" s="2" t="s">
        <v>11</v>
      </c>
      <c r="E947" s="1" t="s">
        <v>811</v>
      </c>
      <c r="F947" s="1" t="s">
        <v>839</v>
      </c>
      <c r="G947" s="1" t="s">
        <v>2411</v>
      </c>
      <c r="H947" s="1" t="s">
        <v>12</v>
      </c>
      <c r="I947" s="1" t="s">
        <v>2257</v>
      </c>
      <c r="J947" s="1" t="s">
        <v>2815</v>
      </c>
      <c r="K947" s="3">
        <v>80</v>
      </c>
      <c r="L947" s="4">
        <v>89.5</v>
      </c>
      <c r="M947" s="4">
        <f t="shared" si="16"/>
        <v>7160</v>
      </c>
    </row>
    <row r="948" spans="1:13" ht="15.75" customHeight="1">
      <c r="A948" s="1" t="s">
        <v>15</v>
      </c>
      <c r="B948" s="1" t="str">
        <f>"192334710837"</f>
        <v>192334710837</v>
      </c>
      <c r="C948" s="1" t="s">
        <v>16</v>
      </c>
      <c r="D948" s="2" t="s">
        <v>17</v>
      </c>
      <c r="E948" s="1" t="s">
        <v>811</v>
      </c>
      <c r="F948" s="1" t="s">
        <v>2210</v>
      </c>
      <c r="G948" s="1" t="s">
        <v>2411</v>
      </c>
      <c r="H948" s="1" t="s">
        <v>12</v>
      </c>
      <c r="I948" s="1" t="s">
        <v>2257</v>
      </c>
      <c r="J948" s="1" t="s">
        <v>2815</v>
      </c>
      <c r="K948" s="3">
        <v>7</v>
      </c>
      <c r="L948" s="4">
        <v>89.5</v>
      </c>
      <c r="M948" s="4">
        <f t="shared" si="16"/>
        <v>626.5</v>
      </c>
    </row>
    <row r="949" spans="1:13" ht="15.75" customHeight="1">
      <c r="A949" s="1" t="s">
        <v>18</v>
      </c>
      <c r="B949" s="1" t="str">
        <f>"196096890042"</f>
        <v>196096890042</v>
      </c>
      <c r="C949" s="1" t="s">
        <v>19</v>
      </c>
      <c r="D949" s="2" t="s">
        <v>20</v>
      </c>
      <c r="E949" s="1" t="s">
        <v>21</v>
      </c>
      <c r="F949" s="1" t="s">
        <v>22</v>
      </c>
      <c r="G949" s="1" t="s">
        <v>2211</v>
      </c>
      <c r="H949" s="1" t="s">
        <v>23</v>
      </c>
      <c r="I949" s="1" t="s">
        <v>2220</v>
      </c>
      <c r="J949" s="1" t="s">
        <v>2815</v>
      </c>
      <c r="K949" s="3">
        <v>1</v>
      </c>
      <c r="L949" s="4">
        <v>260</v>
      </c>
      <c r="M949" s="4">
        <f t="shared" si="16"/>
        <v>260</v>
      </c>
    </row>
    <row r="950" spans="1:13" ht="15.75" customHeight="1">
      <c r="A950" s="1" t="s">
        <v>24</v>
      </c>
      <c r="B950" s="1" t="str">
        <f>"196096890059"</f>
        <v>196096890059</v>
      </c>
      <c r="C950" s="1" t="s">
        <v>25</v>
      </c>
      <c r="D950" s="2" t="s">
        <v>20</v>
      </c>
      <c r="E950" s="1" t="s">
        <v>21</v>
      </c>
      <c r="F950" s="1" t="s">
        <v>22</v>
      </c>
      <c r="G950" s="1" t="s">
        <v>2418</v>
      </c>
      <c r="H950" s="1" t="s">
        <v>23</v>
      </c>
      <c r="I950" s="1" t="s">
        <v>2220</v>
      </c>
      <c r="J950" s="1" t="s">
        <v>2815</v>
      </c>
      <c r="K950" s="3">
        <v>9</v>
      </c>
      <c r="L950" s="4">
        <v>260</v>
      </c>
      <c r="M950" s="4">
        <f t="shared" si="16"/>
        <v>2340</v>
      </c>
    </row>
    <row r="951" spans="1:13" ht="15.75" customHeight="1">
      <c r="A951" s="1" t="s">
        <v>26</v>
      </c>
      <c r="B951" s="1" t="str">
        <f>"196096890011"</f>
        <v>196096890011</v>
      </c>
      <c r="C951" s="1" t="s">
        <v>27</v>
      </c>
      <c r="D951" s="2" t="s">
        <v>28</v>
      </c>
      <c r="E951" s="1" t="s">
        <v>21</v>
      </c>
      <c r="F951" s="1" t="s">
        <v>29</v>
      </c>
      <c r="G951" s="1" t="s">
        <v>2418</v>
      </c>
      <c r="H951" s="1" t="s">
        <v>23</v>
      </c>
      <c r="I951" s="1" t="s">
        <v>2220</v>
      </c>
      <c r="J951" s="1" t="s">
        <v>2815</v>
      </c>
      <c r="K951" s="3">
        <v>8</v>
      </c>
      <c r="L951" s="4">
        <v>260</v>
      </c>
      <c r="M951" s="4">
        <f t="shared" si="16"/>
        <v>2080</v>
      </c>
    </row>
    <row r="952" spans="1:13" ht="15.75" customHeight="1">
      <c r="A952" s="1" t="s">
        <v>30</v>
      </c>
      <c r="B952" s="1" t="str">
        <f>"194715773448"</f>
        <v>194715773448</v>
      </c>
      <c r="C952" s="1" t="s">
        <v>31</v>
      </c>
      <c r="D952" s="2" t="s">
        <v>32</v>
      </c>
      <c r="E952" s="1" t="s">
        <v>33</v>
      </c>
      <c r="F952" s="1" t="s">
        <v>34</v>
      </c>
      <c r="G952" s="1" t="str">
        <f>"6"</f>
        <v>6</v>
      </c>
      <c r="H952" s="1" t="s">
        <v>35</v>
      </c>
      <c r="I952" s="1" t="s">
        <v>2257</v>
      </c>
      <c r="J952" s="1" t="s">
        <v>2230</v>
      </c>
      <c r="K952" s="3">
        <v>1</v>
      </c>
      <c r="L952" s="4">
        <v>150</v>
      </c>
      <c r="M952" s="4">
        <f t="shared" si="16"/>
        <v>150</v>
      </c>
    </row>
    <row r="953" spans="1:13" ht="15.75" customHeight="1">
      <c r="A953" s="1" t="s">
        <v>36</v>
      </c>
      <c r="B953" s="1" t="str">
        <f>"194715773509"</f>
        <v>194715773509</v>
      </c>
      <c r="C953" s="1" t="s">
        <v>37</v>
      </c>
      <c r="D953" s="2" t="s">
        <v>32</v>
      </c>
      <c r="E953" s="1" t="s">
        <v>33</v>
      </c>
      <c r="F953" s="1" t="s">
        <v>34</v>
      </c>
      <c r="G953" s="1" t="str">
        <f>"7"</f>
        <v>7</v>
      </c>
      <c r="H953" s="1" t="s">
        <v>35</v>
      </c>
      <c r="I953" s="1" t="s">
        <v>2257</v>
      </c>
      <c r="J953" s="1" t="s">
        <v>2230</v>
      </c>
      <c r="K953" s="3">
        <v>17</v>
      </c>
      <c r="L953" s="4">
        <v>150</v>
      </c>
      <c r="M953" s="4">
        <f t="shared" si="16"/>
        <v>2550</v>
      </c>
    </row>
    <row r="954" spans="1:13" ht="15.75" customHeight="1">
      <c r="A954" s="1" t="s">
        <v>38</v>
      </c>
      <c r="B954" s="1" t="str">
        <f>"682327159007"</f>
        <v>682327159007</v>
      </c>
      <c r="C954" s="1" t="s">
        <v>39</v>
      </c>
      <c r="D954" s="2" t="s">
        <v>40</v>
      </c>
      <c r="E954" s="1" t="s">
        <v>41</v>
      </c>
      <c r="F954" s="1" t="s">
        <v>2427</v>
      </c>
      <c r="G954" s="1" t="s">
        <v>2422</v>
      </c>
      <c r="H954" s="1"/>
      <c r="I954" s="1" t="s">
        <v>2213</v>
      </c>
      <c r="J954" s="1" t="s">
        <v>2428</v>
      </c>
      <c r="K954" s="3">
        <v>1</v>
      </c>
      <c r="L954" s="4">
        <v>25</v>
      </c>
      <c r="M954" s="4">
        <f t="shared" si="16"/>
        <v>25</v>
      </c>
    </row>
    <row r="955" spans="1:13" ht="15.75" customHeight="1">
      <c r="A955" s="1" t="s">
        <v>42</v>
      </c>
      <c r="B955" s="1" t="str">
        <f>"191169062319"</f>
        <v>191169062319</v>
      </c>
      <c r="C955" s="1" t="s">
        <v>43</v>
      </c>
      <c r="D955" s="2" t="s">
        <v>44</v>
      </c>
      <c r="E955" s="1" t="s">
        <v>41</v>
      </c>
      <c r="F955" s="1" t="s">
        <v>45</v>
      </c>
      <c r="G955" s="1" t="s">
        <v>2405</v>
      </c>
      <c r="H955" s="1" t="s">
        <v>46</v>
      </c>
      <c r="I955" s="1" t="s">
        <v>2220</v>
      </c>
      <c r="J955" s="1" t="s">
        <v>2432</v>
      </c>
      <c r="K955" s="3">
        <v>4</v>
      </c>
      <c r="L955" s="4">
        <v>30</v>
      </c>
      <c r="M955" s="4">
        <f t="shared" si="16"/>
        <v>120</v>
      </c>
    </row>
    <row r="956" spans="1:13" ht="15.75" customHeight="1">
      <c r="A956" s="1" t="s">
        <v>47</v>
      </c>
      <c r="B956" s="1" t="str">
        <f>"191169062296"</f>
        <v>191169062296</v>
      </c>
      <c r="C956" s="1" t="s">
        <v>48</v>
      </c>
      <c r="D956" s="2" t="s">
        <v>44</v>
      </c>
      <c r="E956" s="1" t="s">
        <v>41</v>
      </c>
      <c r="F956" s="1" t="s">
        <v>45</v>
      </c>
      <c r="G956" s="1" t="s">
        <v>2211</v>
      </c>
      <c r="H956" s="1"/>
      <c r="I956" s="1" t="s">
        <v>2220</v>
      </c>
      <c r="J956" s="1" t="s">
        <v>2432</v>
      </c>
      <c r="K956" s="3">
        <v>223</v>
      </c>
      <c r="L956" s="4">
        <v>30</v>
      </c>
      <c r="M956" s="4">
        <f t="shared" si="16"/>
        <v>6690</v>
      </c>
    </row>
    <row r="957" spans="1:13" ht="15.75" customHeight="1">
      <c r="A957" s="1" t="s">
        <v>49</v>
      </c>
      <c r="B957" s="1" t="str">
        <f>"191169062302"</f>
        <v>191169062302</v>
      </c>
      <c r="C957" s="1" t="s">
        <v>50</v>
      </c>
      <c r="D957" s="2" t="s">
        <v>44</v>
      </c>
      <c r="E957" s="1" t="s">
        <v>41</v>
      </c>
      <c r="F957" s="1" t="s">
        <v>45</v>
      </c>
      <c r="G957" s="1" t="s">
        <v>2418</v>
      </c>
      <c r="H957" s="1" t="s">
        <v>46</v>
      </c>
      <c r="I957" s="1" t="s">
        <v>2220</v>
      </c>
      <c r="J957" s="1" t="s">
        <v>2432</v>
      </c>
      <c r="K957" s="3">
        <v>241</v>
      </c>
      <c r="L957" s="4">
        <v>30</v>
      </c>
      <c r="M957" s="4">
        <f t="shared" si="16"/>
        <v>7230</v>
      </c>
    </row>
    <row r="958" spans="1:13" ht="15.75" customHeight="1">
      <c r="A958" s="1" t="s">
        <v>51</v>
      </c>
      <c r="B958" s="1" t="str">
        <f>"191169075197"</f>
        <v>191169075197</v>
      </c>
      <c r="C958" s="1" t="s">
        <v>52</v>
      </c>
      <c r="D958" s="2"/>
      <c r="E958" s="1" t="s">
        <v>41</v>
      </c>
      <c r="F958" s="1" t="s">
        <v>53</v>
      </c>
      <c r="G958" s="1" t="s">
        <v>54</v>
      </c>
      <c r="H958" s="1" t="str">
        <f>"1305775"</f>
        <v>1305775</v>
      </c>
      <c r="I958" s="1" t="s">
        <v>2220</v>
      </c>
      <c r="J958" s="1" t="s">
        <v>2428</v>
      </c>
      <c r="K958" s="3">
        <v>35</v>
      </c>
      <c r="L958" s="4">
        <v>22.99</v>
      </c>
      <c r="M958" s="4">
        <f t="shared" si="16"/>
        <v>804.65</v>
      </c>
    </row>
    <row r="959" spans="1:13" ht="15.75" customHeight="1">
      <c r="A959" s="1" t="s">
        <v>55</v>
      </c>
      <c r="B959" s="1" t="str">
        <f>"685248500439"</f>
        <v>685248500439</v>
      </c>
      <c r="C959" s="1" t="s">
        <v>56</v>
      </c>
      <c r="D959" s="2"/>
      <c r="E959" s="1" t="s">
        <v>41</v>
      </c>
      <c r="F959" s="1" t="s">
        <v>2427</v>
      </c>
      <c r="G959" s="1" t="s">
        <v>2211</v>
      </c>
      <c r="H959" s="1" t="s">
        <v>2211</v>
      </c>
      <c r="I959" s="1" t="s">
        <v>2220</v>
      </c>
      <c r="J959" s="1" t="s">
        <v>2428</v>
      </c>
      <c r="K959" s="3">
        <v>5</v>
      </c>
      <c r="L959" s="4">
        <v>30</v>
      </c>
      <c r="M959" s="4">
        <f t="shared" si="16"/>
        <v>150</v>
      </c>
    </row>
    <row r="960" spans="1:13" ht="15.75" customHeight="1">
      <c r="A960" s="1" t="s">
        <v>57</v>
      </c>
      <c r="B960" s="1" t="str">
        <f>"196039002525"</f>
        <v>196039002525</v>
      </c>
      <c r="C960" s="1" t="s">
        <v>58</v>
      </c>
      <c r="D960" s="2" t="s">
        <v>59</v>
      </c>
      <c r="E960" s="1" t="s">
        <v>41</v>
      </c>
      <c r="F960" s="1" t="s">
        <v>2868</v>
      </c>
      <c r="G960" s="1" t="s">
        <v>2411</v>
      </c>
      <c r="H960" s="1" t="str">
        <f>"1277206"</f>
        <v>1277206</v>
      </c>
      <c r="I960" s="1" t="s">
        <v>2257</v>
      </c>
      <c r="J960" s="1" t="s">
        <v>2428</v>
      </c>
      <c r="K960" s="3">
        <v>1</v>
      </c>
      <c r="L960" s="4">
        <v>25</v>
      </c>
      <c r="M960" s="4">
        <f t="shared" si="16"/>
        <v>25</v>
      </c>
    </row>
    <row r="961" spans="1:13" ht="15.75" customHeight="1">
      <c r="A961" s="1" t="s">
        <v>60</v>
      </c>
      <c r="B961" s="1" t="str">
        <f>"191169066812"</f>
        <v>191169066812</v>
      </c>
      <c r="C961" s="1" t="s">
        <v>61</v>
      </c>
      <c r="D961" s="2"/>
      <c r="E961" s="1" t="s">
        <v>41</v>
      </c>
      <c r="F961" s="1" t="s">
        <v>62</v>
      </c>
      <c r="G961" s="1" t="s">
        <v>2411</v>
      </c>
      <c r="H961" s="1" t="s">
        <v>63</v>
      </c>
      <c r="I961" s="1" t="s">
        <v>2257</v>
      </c>
      <c r="J961" s="1" t="s">
        <v>2428</v>
      </c>
      <c r="K961" s="3">
        <v>89</v>
      </c>
      <c r="L961" s="4">
        <v>25</v>
      </c>
      <c r="M961" s="4">
        <f t="shared" si="16"/>
        <v>2225</v>
      </c>
    </row>
    <row r="962" spans="1:13" ht="15.75" customHeight="1">
      <c r="A962" s="1" t="s">
        <v>64</v>
      </c>
      <c r="B962" s="1" t="str">
        <f>"191169066997"</f>
        <v>191169066997</v>
      </c>
      <c r="C962" s="1" t="s">
        <v>65</v>
      </c>
      <c r="D962" s="2"/>
      <c r="E962" s="1" t="s">
        <v>41</v>
      </c>
      <c r="F962" s="1" t="s">
        <v>66</v>
      </c>
      <c r="G962" s="1" t="s">
        <v>2418</v>
      </c>
      <c r="H962" s="1" t="s">
        <v>67</v>
      </c>
      <c r="I962" s="1" t="s">
        <v>2257</v>
      </c>
      <c r="J962" s="1" t="s">
        <v>2428</v>
      </c>
      <c r="K962" s="3">
        <v>41</v>
      </c>
      <c r="L962" s="4">
        <v>25</v>
      </c>
      <c r="M962" s="4">
        <f t="shared" ref="M962:M976" si="17">L962*K962</f>
        <v>1025</v>
      </c>
    </row>
    <row r="963" spans="1:13" ht="15.75" customHeight="1">
      <c r="A963" s="1" t="s">
        <v>68</v>
      </c>
      <c r="B963" s="1" t="str">
        <f>"197418055316"</f>
        <v>197418055316</v>
      </c>
      <c r="C963" s="1" t="s">
        <v>69</v>
      </c>
      <c r="D963" s="2"/>
      <c r="E963" s="1" t="s">
        <v>41</v>
      </c>
      <c r="F963" s="1" t="s">
        <v>2210</v>
      </c>
      <c r="G963" s="1" t="s">
        <v>2411</v>
      </c>
      <c r="H963" s="1" t="s">
        <v>70</v>
      </c>
      <c r="I963" s="1" t="s">
        <v>2220</v>
      </c>
      <c r="J963" s="1" t="s">
        <v>1226</v>
      </c>
      <c r="K963" s="3">
        <v>6</v>
      </c>
      <c r="L963" s="4">
        <v>70</v>
      </c>
      <c r="M963" s="4">
        <f t="shared" si="17"/>
        <v>420</v>
      </c>
    </row>
    <row r="964" spans="1:13" ht="15.75" customHeight="1">
      <c r="A964" s="1" t="s">
        <v>71</v>
      </c>
      <c r="B964" s="1" t="str">
        <f>"195252472337"</f>
        <v>195252472337</v>
      </c>
      <c r="C964" s="1" t="s">
        <v>72</v>
      </c>
      <c r="D964" s="2"/>
      <c r="E964" s="1" t="s">
        <v>41</v>
      </c>
      <c r="F964" s="1" t="s">
        <v>73</v>
      </c>
      <c r="G964" s="1" t="s">
        <v>2411</v>
      </c>
      <c r="H964" s="1" t="str">
        <f>"1370399"</f>
        <v>1370399</v>
      </c>
      <c r="I964" s="1" t="s">
        <v>2220</v>
      </c>
      <c r="J964" s="1" t="s">
        <v>1226</v>
      </c>
      <c r="K964" s="3">
        <v>16</v>
      </c>
      <c r="L964" s="4">
        <v>40</v>
      </c>
      <c r="M964" s="4">
        <f t="shared" si="17"/>
        <v>640</v>
      </c>
    </row>
    <row r="965" spans="1:13" ht="15.75" customHeight="1">
      <c r="A965" s="1" t="s">
        <v>74</v>
      </c>
      <c r="B965" s="1" t="str">
        <f>"195252472351"</f>
        <v>195252472351</v>
      </c>
      <c r="C965" s="1" t="s">
        <v>75</v>
      </c>
      <c r="D965" s="2"/>
      <c r="E965" s="1" t="s">
        <v>41</v>
      </c>
      <c r="F965" s="1" t="s">
        <v>73</v>
      </c>
      <c r="G965" s="1" t="s">
        <v>2219</v>
      </c>
      <c r="H965" s="1" t="str">
        <f>"1370399"</f>
        <v>1370399</v>
      </c>
      <c r="I965" s="1" t="s">
        <v>2220</v>
      </c>
      <c r="J965" s="1" t="s">
        <v>1226</v>
      </c>
      <c r="K965" s="3">
        <v>36</v>
      </c>
      <c r="L965" s="4">
        <v>40</v>
      </c>
      <c r="M965" s="4">
        <f t="shared" si="17"/>
        <v>1440</v>
      </c>
    </row>
    <row r="966" spans="1:13" ht="15.75" customHeight="1">
      <c r="A966" s="1" t="s">
        <v>76</v>
      </c>
      <c r="B966" s="1" t="str">
        <f>"195252470159"</f>
        <v>195252470159</v>
      </c>
      <c r="C966" s="1" t="s">
        <v>77</v>
      </c>
      <c r="D966" s="2"/>
      <c r="E966" s="1" t="s">
        <v>41</v>
      </c>
      <c r="F966" s="1" t="s">
        <v>2868</v>
      </c>
      <c r="G966" s="1" t="s">
        <v>2219</v>
      </c>
      <c r="H966" s="1" t="str">
        <f>"1370392"</f>
        <v>1370392</v>
      </c>
      <c r="I966" s="1" t="s">
        <v>2220</v>
      </c>
      <c r="J966" s="1" t="s">
        <v>2815</v>
      </c>
      <c r="K966" s="3">
        <v>1</v>
      </c>
      <c r="L966" s="4">
        <v>60</v>
      </c>
      <c r="M966" s="4">
        <f t="shared" si="17"/>
        <v>60</v>
      </c>
    </row>
    <row r="967" spans="1:13" ht="15.75" customHeight="1">
      <c r="A967" s="1" t="s">
        <v>78</v>
      </c>
      <c r="B967" s="1" t="str">
        <f>"196883192724"</f>
        <v>196883192724</v>
      </c>
      <c r="C967" s="1" t="s">
        <v>79</v>
      </c>
      <c r="D967" s="2" t="s">
        <v>80</v>
      </c>
      <c r="E967" s="1" t="s">
        <v>41</v>
      </c>
      <c r="F967" s="1" t="s">
        <v>81</v>
      </c>
      <c r="G967" s="1" t="s">
        <v>2405</v>
      </c>
      <c r="H967" s="1" t="str">
        <f>"1371587"</f>
        <v>1371587</v>
      </c>
      <c r="I967" s="1" t="s">
        <v>2220</v>
      </c>
      <c r="J967" s="1" t="s">
        <v>2815</v>
      </c>
      <c r="K967" s="3">
        <v>89</v>
      </c>
      <c r="L967" s="4">
        <v>120</v>
      </c>
      <c r="M967" s="4">
        <f t="shared" si="17"/>
        <v>10680</v>
      </c>
    </row>
    <row r="968" spans="1:13" ht="15.75" customHeight="1">
      <c r="A968" s="1" t="s">
        <v>82</v>
      </c>
      <c r="B968" s="1" t="str">
        <f>"196883192816"</f>
        <v>196883192816</v>
      </c>
      <c r="C968" s="1" t="s">
        <v>83</v>
      </c>
      <c r="D968" s="2" t="s">
        <v>80</v>
      </c>
      <c r="E968" s="1" t="s">
        <v>41</v>
      </c>
      <c r="F968" s="1" t="s">
        <v>81</v>
      </c>
      <c r="G968" s="1" t="s">
        <v>2211</v>
      </c>
      <c r="H968" s="1" t="str">
        <f>"1371587"</f>
        <v>1371587</v>
      </c>
      <c r="I968" s="1" t="s">
        <v>2220</v>
      </c>
      <c r="J968" s="1" t="s">
        <v>2815</v>
      </c>
      <c r="K968" s="3">
        <v>279</v>
      </c>
      <c r="L968" s="4">
        <v>120</v>
      </c>
      <c r="M968" s="4">
        <f t="shared" si="17"/>
        <v>33480</v>
      </c>
    </row>
    <row r="969" spans="1:13" ht="15.75" customHeight="1">
      <c r="A969" s="1" t="s">
        <v>84</v>
      </c>
      <c r="B969" s="1" t="str">
        <f>"196883192779"</f>
        <v>196883192779</v>
      </c>
      <c r="C969" s="1" t="s">
        <v>85</v>
      </c>
      <c r="D969" s="2" t="s">
        <v>80</v>
      </c>
      <c r="E969" s="1" t="s">
        <v>41</v>
      </c>
      <c r="F969" s="1" t="s">
        <v>81</v>
      </c>
      <c r="G969" s="1" t="s">
        <v>2411</v>
      </c>
      <c r="H969" s="1" t="str">
        <f>"1371587"</f>
        <v>1371587</v>
      </c>
      <c r="I969" s="1" t="s">
        <v>2220</v>
      </c>
      <c r="J969" s="1" t="s">
        <v>2815</v>
      </c>
      <c r="K969" s="3">
        <v>185</v>
      </c>
      <c r="L969" s="4">
        <v>120</v>
      </c>
      <c r="M969" s="4">
        <f t="shared" si="17"/>
        <v>22200</v>
      </c>
    </row>
    <row r="970" spans="1:13" ht="15.75" customHeight="1">
      <c r="A970" s="1" t="s">
        <v>86</v>
      </c>
      <c r="B970" s="1" t="str">
        <f>"196883192762"</f>
        <v>196883192762</v>
      </c>
      <c r="C970" s="1" t="s">
        <v>87</v>
      </c>
      <c r="D970" s="2" t="s">
        <v>80</v>
      </c>
      <c r="E970" s="1" t="s">
        <v>41</v>
      </c>
      <c r="F970" s="1" t="s">
        <v>81</v>
      </c>
      <c r="G970" s="1" t="s">
        <v>2219</v>
      </c>
      <c r="H970" s="1" t="str">
        <f>"1371587"</f>
        <v>1371587</v>
      </c>
      <c r="I970" s="1" t="s">
        <v>2220</v>
      </c>
      <c r="J970" s="1" t="s">
        <v>2815</v>
      </c>
      <c r="K970" s="3">
        <v>20</v>
      </c>
      <c r="L970" s="4">
        <v>120</v>
      </c>
      <c r="M970" s="4">
        <f t="shared" si="17"/>
        <v>2400</v>
      </c>
    </row>
    <row r="971" spans="1:13" ht="15.75" customHeight="1">
      <c r="A971" s="1" t="s">
        <v>88</v>
      </c>
      <c r="B971" s="1" t="str">
        <f>"196883192793"</f>
        <v>196883192793</v>
      </c>
      <c r="C971" s="1" t="s">
        <v>89</v>
      </c>
      <c r="D971" s="2" t="s">
        <v>80</v>
      </c>
      <c r="E971" s="1" t="s">
        <v>41</v>
      </c>
      <c r="F971" s="1" t="s">
        <v>81</v>
      </c>
      <c r="G971" s="1" t="s">
        <v>2418</v>
      </c>
      <c r="H971" s="1" t="str">
        <f>"1371587"</f>
        <v>1371587</v>
      </c>
      <c r="I971" s="1" t="s">
        <v>2220</v>
      </c>
      <c r="J971" s="1" t="s">
        <v>2815</v>
      </c>
      <c r="K971" s="3">
        <v>251</v>
      </c>
      <c r="L971" s="4">
        <v>120</v>
      </c>
      <c r="M971" s="4">
        <f t="shared" si="17"/>
        <v>30120</v>
      </c>
    </row>
    <row r="972" spans="1:13" ht="15.75" customHeight="1">
      <c r="A972" s="1" t="s">
        <v>90</v>
      </c>
      <c r="B972" s="1" t="str">
        <f>"196634646933"</f>
        <v>196634646933</v>
      </c>
      <c r="C972" s="1" t="s">
        <v>91</v>
      </c>
      <c r="D972" s="2" t="s">
        <v>92</v>
      </c>
      <c r="E972" s="1" t="s">
        <v>41</v>
      </c>
      <c r="F972" s="1" t="s">
        <v>93</v>
      </c>
      <c r="G972" s="1" t="s">
        <v>2219</v>
      </c>
      <c r="H972" s="1" t="s">
        <v>94</v>
      </c>
      <c r="I972" s="1" t="s">
        <v>2220</v>
      </c>
      <c r="J972" s="1" t="s">
        <v>2235</v>
      </c>
      <c r="K972" s="3">
        <v>19</v>
      </c>
      <c r="L972" s="4">
        <v>60</v>
      </c>
      <c r="M972" s="4">
        <f t="shared" si="17"/>
        <v>1140</v>
      </c>
    </row>
    <row r="973" spans="1:13" ht="15.75" customHeight="1">
      <c r="A973" s="1" t="s">
        <v>95</v>
      </c>
      <c r="B973" s="1" t="str">
        <f>"191633996492"</f>
        <v>191633996492</v>
      </c>
      <c r="C973" s="1" t="s">
        <v>96</v>
      </c>
      <c r="D973" s="10" t="s">
        <v>97</v>
      </c>
      <c r="E973" s="1" t="s">
        <v>41</v>
      </c>
      <c r="F973" s="1" t="s">
        <v>98</v>
      </c>
      <c r="G973" s="1" t="s">
        <v>2422</v>
      </c>
      <c r="H973" s="1" t="str">
        <f>"1317222"</f>
        <v>1317222</v>
      </c>
      <c r="I973" s="1" t="s">
        <v>2257</v>
      </c>
      <c r="J973" s="1" t="s">
        <v>2815</v>
      </c>
      <c r="K973" s="3">
        <v>28</v>
      </c>
      <c r="L973" s="4">
        <v>79</v>
      </c>
      <c r="M973" s="4">
        <f t="shared" si="17"/>
        <v>2212</v>
      </c>
    </row>
    <row r="974" spans="1:13" ht="15.75" customHeight="1">
      <c r="A974" s="1" t="s">
        <v>99</v>
      </c>
      <c r="B974" s="1" t="str">
        <f>"196634778597"</f>
        <v>196634778597</v>
      </c>
      <c r="C974" s="1" t="s">
        <v>100</v>
      </c>
      <c r="D974" s="11" t="s">
        <v>101</v>
      </c>
      <c r="E974" s="12" t="s">
        <v>41</v>
      </c>
      <c r="F974" s="12" t="s">
        <v>93</v>
      </c>
      <c r="G974" s="12" t="s">
        <v>2411</v>
      </c>
      <c r="H974" s="12" t="s">
        <v>102</v>
      </c>
      <c r="I974" s="12" t="s">
        <v>2257</v>
      </c>
      <c r="J974" s="12" t="s">
        <v>2815</v>
      </c>
      <c r="K974" s="13">
        <v>85</v>
      </c>
      <c r="L974" s="14">
        <v>65</v>
      </c>
      <c r="M974" s="14">
        <f t="shared" si="17"/>
        <v>5525</v>
      </c>
    </row>
    <row r="975" spans="1:13" ht="15.75" customHeight="1">
      <c r="A975" s="1" t="s">
        <v>103</v>
      </c>
      <c r="B975" s="1" t="str">
        <f>"196634778573"</f>
        <v>196634778573</v>
      </c>
      <c r="C975" s="15" t="s">
        <v>104</v>
      </c>
      <c r="D975" s="2" t="s">
        <v>101</v>
      </c>
      <c r="E975" s="1" t="s">
        <v>41</v>
      </c>
      <c r="F975" s="1" t="s">
        <v>93</v>
      </c>
      <c r="G975" s="1" t="s">
        <v>2219</v>
      </c>
      <c r="H975" s="1" t="s">
        <v>102</v>
      </c>
      <c r="I975" s="1" t="s">
        <v>2257</v>
      </c>
      <c r="J975" s="1" t="s">
        <v>2815</v>
      </c>
      <c r="K975" s="3">
        <v>88</v>
      </c>
      <c r="L975" s="4">
        <v>65</v>
      </c>
      <c r="M975" s="4">
        <f t="shared" si="17"/>
        <v>5720</v>
      </c>
    </row>
    <row r="976" spans="1:13" ht="15.75" customHeight="1">
      <c r="A976" s="1" t="s">
        <v>105</v>
      </c>
      <c r="B976" s="1" t="str">
        <f>"196634778580"</f>
        <v>196634778580</v>
      </c>
      <c r="C976" s="15" t="s">
        <v>106</v>
      </c>
      <c r="D976" s="2" t="s">
        <v>101</v>
      </c>
      <c r="E976" s="1" t="s">
        <v>41</v>
      </c>
      <c r="F976" s="1" t="s">
        <v>93</v>
      </c>
      <c r="G976" s="1" t="s">
        <v>2422</v>
      </c>
      <c r="H976" s="1" t="s">
        <v>102</v>
      </c>
      <c r="I976" s="1" t="s">
        <v>2257</v>
      </c>
      <c r="J976" s="1" t="s">
        <v>2815</v>
      </c>
      <c r="K976" s="3">
        <v>57</v>
      </c>
      <c r="L976" s="4">
        <v>65</v>
      </c>
      <c r="M976" s="4">
        <f t="shared" si="17"/>
        <v>3705</v>
      </c>
    </row>
    <row r="977" spans="11:13" ht="15.75" customHeight="1">
      <c r="K977" s="16">
        <f>SUM(K2:K976)</f>
        <v>60046</v>
      </c>
      <c r="L977" s="17"/>
      <c r="M977" s="18">
        <f>SUM(M2:M976)</f>
        <v>4263343.870000001</v>
      </c>
    </row>
    <row r="978" spans="11:13" ht="15.75" customHeight="1">
      <c r="K978" s="17"/>
      <c r="L978" s="19"/>
      <c r="M978" s="20"/>
    </row>
    <row r="979" spans="11:13" ht="15.75" customHeight="1">
      <c r="K979" s="17"/>
      <c r="L979" s="19"/>
      <c r="M979" s="20"/>
    </row>
    <row r="980" spans="11:13" ht="15.75" customHeight="1">
      <c r="K980" s="17"/>
      <c r="L980" s="19"/>
      <c r="M980" s="20"/>
    </row>
    <row r="981" spans="11:13" ht="15.75" customHeight="1">
      <c r="K981" s="17"/>
      <c r="L981" s="19"/>
      <c r="M981" s="20"/>
    </row>
    <row r="982" spans="11:13" ht="15.75" customHeight="1">
      <c r="K982" s="17"/>
      <c r="L982" s="19"/>
      <c r="M982" s="20"/>
    </row>
    <row r="983" spans="11:13" ht="15.75" customHeight="1">
      <c r="K983" s="17"/>
      <c r="L983" s="19"/>
      <c r="M983" s="20"/>
    </row>
    <row r="984" spans="11:13" ht="15.75" customHeight="1">
      <c r="K984" s="17"/>
      <c r="L984" s="19"/>
      <c r="M984" s="20"/>
    </row>
    <row r="985" spans="11:13" ht="15.75" customHeight="1">
      <c r="K985" s="17"/>
      <c r="L985" s="19"/>
      <c r="M985" s="20"/>
    </row>
    <row r="986" spans="11:13" ht="15.75" customHeight="1">
      <c r="K986" s="17"/>
      <c r="L986" s="19"/>
      <c r="M986" s="20"/>
    </row>
    <row r="987" spans="11:13" ht="15.75" customHeight="1">
      <c r="K987" s="17"/>
      <c r="L987" s="19"/>
      <c r="M987" s="20"/>
    </row>
    <row r="988" spans="11:13" ht="15.75" customHeight="1">
      <c r="K988" s="17"/>
      <c r="L988" s="19"/>
      <c r="M988" s="20"/>
    </row>
    <row r="989" spans="11:13" ht="15.75" customHeight="1">
      <c r="K989" s="17"/>
      <c r="L989" s="19"/>
      <c r="M989" s="20"/>
    </row>
    <row r="990" spans="11:13" ht="15.75" customHeight="1">
      <c r="K990" s="17"/>
      <c r="L990" s="19"/>
      <c r="M990" s="20"/>
    </row>
    <row r="991" spans="11:13" ht="15.75" customHeight="1"/>
    <row r="992" spans="11:13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honeticPr fontId="0" type="noConversion"/>
  <hyperlinks>
    <hyperlink ref="D2" r:id="rId1"/>
    <hyperlink ref="D3" r:id="rId2"/>
    <hyperlink ref="D19" r:id="rId3"/>
    <hyperlink ref="D20" r:id="rId4"/>
    <hyperlink ref="D973" r:id="rId5"/>
  </hyperlinks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60K units - 03.13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Dators</cp:lastModifiedBy>
  <dcterms:created xsi:type="dcterms:W3CDTF">2025-03-05T17:15:03Z</dcterms:created>
  <dcterms:modified xsi:type="dcterms:W3CDTF">2025-05-01T08:38:13Z</dcterms:modified>
</cp:coreProperties>
</file>